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ekretariat\Desktop\MSSR\"/>
    </mc:Choice>
  </mc:AlternateContent>
  <xr:revisionPtr revIDLastSave="0" documentId="8_{A21FEB0A-680C-40F0-A2B7-E48136349A3B}"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<sst xmlns="http://schemas.openxmlformats.org/spreadsheetml/2006/main" count="4217" uniqueCount="1957">
  <si>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</si>
  <si>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</si>
  <si>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</si>
  <si>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</si>
  <si>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</si>
  <si>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</si>
  <si>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</si>
  <si>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</si>
  <si>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</si>
  <si>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</si>
  <si>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</si>
  <si>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</si>
  <si>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</si>
  <si>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</si>
  <si>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</si>
  <si>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</si>
  <si>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</si>
  <si>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</si>
  <si>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</si>
  <si>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</si>
  <si>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</si>
  <si>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</si>
  <si>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</si>
  <si>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</si>
  <si>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</si>
  <si>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</si>
  <si>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</si>
  <si>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</si>
  <si>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</si>
  <si>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</si>
  <si>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</si>
  <si>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</si>
  <si>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</si>
  <si>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</si>
  <si>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</si>
  <si>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</si>
  <si>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</si>
  <si>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</si>
  <si>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</si>
  <si>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</si>
  <si>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</si>
  <si>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</si>
  <si>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</si>
  <si>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</si>
  <si>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</si>
  <si>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</si>
  <si>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</si>
  <si>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</si>
  <si>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</si>
  <si>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</si>
  <si>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</si>
  <si>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</si>
  <si>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</si>
  <si>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</si>
  <si>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</si>
  <si>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</si>
  <si>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</si>
  <si>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</si>
  <si>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</si>
  <si>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</si>
  <si>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</si>
  <si>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</si>
  <si>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</si>
  <si>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</si>
  <si>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</si>
  <si>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</si>
  <si>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</si>
  <si>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</si>
  <si>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</si>
  <si>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</si>
  <si>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</si>
  <si>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</si>
  <si>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</si>
  <si>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</si>
  <si>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</si>
  <si>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</si>
  <si>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</si>
  <si>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</si>
  <si>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</si>
  <si>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</si>
  <si>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</si>
  <si>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</si>
  <si>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</si>
  <si>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</si>
  <si>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</si>
  <si>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</si>
  <si>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</si>
  <si>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</si>
  <si>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</si>
  <si>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</si>
  <si>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</si>
  <si>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</si>
  <si>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</si>
  <si>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</si>
  <si>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</si>
  <si>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</si>
  <si>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</si>
  <si>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</si>
  <si>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</si>
  <si>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</si>
  <si>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</si>
  <si>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</si>
  <si>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</si>
  <si>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</si>
  <si>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</si>
  <si>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</si>
  <si>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</si>
  <si>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</si>
  <si>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</si>
  <si>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</si>
  <si>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</si>
  <si>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</si>
  <si>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</si>
  <si>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</si>
  <si>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</si>
  <si>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</si>
  <si>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</si>
  <si>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</si>
  <si>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</si>
  <si>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</si>
  <si>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</si>
  <si>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</si>
  <si>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</si>
  <si>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</si>
  <si>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</si>
  <si>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</si>
  <si>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</si>
  <si>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</si>
  <si>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</si>
  <si>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</si>
  <si>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</si>
  <si>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</si>
  <si>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</si>
  <si>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</si>
  <si>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</si>
  <si>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</si>
  <si>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</si>
  <si>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</si>
  <si>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</si>
  <si>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</si>
  <si>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</si>
  <si>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</si>
  <si>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</si>
  <si>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</si>
  <si>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</si>
  <si>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</si>
  <si>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</si>
  <si>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</si>
  <si>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</si>
  <si>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</si>
  <si>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</si>
  <si>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</si>
  <si>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</si>
  <si>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</si>
  <si>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</si>
  <si>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</si>
  <si>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</si>
  <si>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</si>
  <si>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</si>
  <si>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</si>
  <si>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</si>
  <si>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</si>
  <si>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</si>
  <si>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</si>
  <si>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</si>
  <si>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</si>
  <si>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</si>
  <si>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</si>
  <si>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</si>
  <si>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</si>
  <si>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</si>
  <si>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</si>
  <si>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</si>
  <si>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</si>
  <si>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</si>
  <si>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</si>
  <si>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</si>
  <si>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</si>
  <si>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</si>
  <si>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</si>
  <si>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</si>
  <si>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</si>
  <si>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</si>
  <si>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</si>
  <si>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</si>
  <si>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</si>
  <si>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</si>
  <si>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</si>
  <si>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</si>
  <si>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</si>
  <si>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</si>
  <si>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</si>
  <si>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</si>
  <si>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</si>
  <si>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</si>
  <si>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</si>
  <si>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</si>
  <si>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</si>
  <si>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</si>
  <si>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</si>
  <si>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</si>
  <si>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</si>
  <si>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</si>
  <si>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</si>
  <si>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</si>
  <si>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</si>
  <si>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</si>
  <si>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</si>
  <si>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</si>
  <si>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</si>
  <si>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</si>
  <si>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</si>
  <si>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</si>
  <si>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</si>
  <si>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</si>
  <si>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</si>
  <si>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</si>
  <si>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</si>
  <si>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</si>
  <si>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</si>
  <si>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</si>
  <si>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</si>
  <si>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</si>
  <si>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</si>
  <si>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</si>
  <si>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</si>
  <si>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</si>
  <si>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</si>
  <si>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</si>
  <si>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</si>
  <si>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</si>
  <si>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</si>
  <si>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</si>
  <si>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</si>
  <si>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</si>
  <si>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</si>
  <si>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</si>
  <si>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</si>
  <si>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</si>
  <si>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</si>
  <si>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</si>
  <si>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</si>
  <si>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</si>
  <si>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</si>
  <si>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</si>
  <si>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</si>
  <si>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</si>
  <si>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</si>
  <si>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</si>
  <si>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</si>
  <si>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</si>
  <si>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</si>
  <si>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</si>
  <si>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</si>
  <si>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</si>
  <si>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</si>
  <si>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</si>
  <si>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</si>
  <si>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</si>
  <si>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</si>
  <si>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</si>
  <si>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</si>
  <si>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</si>
  <si>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</si>
  <si>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</si>
  <si>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</si>
  <si>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</si>
  <si>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</si>
  <si>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</si>
  <si>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</si>
  <si>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</si>
  <si>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</si>
  <si>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</si>
  <si>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</si>
  <si>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</si>
  <si>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</si>
  <si>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</si>
  <si>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</si>
  <si>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</si>
  <si>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</si>
  <si>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</si>
  <si>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</si>
  <si>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</si>
  <si>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</si>
  <si>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</si>
  <si>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</si>
  <si>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</si>
  <si>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</si>
  <si>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</si>
  <si>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</si>
  <si>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</si>
  <si>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</si>
  <si>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</si>
  <si>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</si>
  <si>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</si>
  <si>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</si>
  <si>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</si>
  <si>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</si>
  <si>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</si>
  <si>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</si>
  <si>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</si>
  <si>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</si>
  <si>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</si>
  <si>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</si>
  <si>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</si>
  <si>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</si>
  <si>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</si>
  <si>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</si>
  <si>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</si>
  <si>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</si>
  <si>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</si>
  <si>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</si>
  <si>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</si>
  <si>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</si>
  <si>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</si>
  <si>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</si>
  <si>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</si>
  <si>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</si>
  <si>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</si>
  <si>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</si>
  <si>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</si>
  <si>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</si>
  <si>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</si>
  <si>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</si>
  <si>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</si>
  <si>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</si>
  <si>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</si>
  <si>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</si>
  <si>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</si>
  <si>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</si>
  <si>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</si>
  <si>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</si>
  <si>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</si>
  <si>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</si>
  <si>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</si>
  <si>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</si>
  <si>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</si>
  <si>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</si>
  <si>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</si>
  <si>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</si>
  <si>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</si>
  <si>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</si>
  <si>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</si>
  <si>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</si>
  <si>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</si>
  <si>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</si>
  <si>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</si>
  <si>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</si>
  <si>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</si>
  <si>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</si>
  <si>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</si>
  <si>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</si>
  <si>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</si>
  <si>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</si>
  <si>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</si>
  <si>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</si>
  <si>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</si>
  <si>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</si>
  <si>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</si>
  <si>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</si>
  <si>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</si>
  <si>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</si>
  <si>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</si>
  <si>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</si>
  <si>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</si>
  <si>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</si>
  <si>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</si>
  <si>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</si>
  <si>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</si>
  <si>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</si>
  <si>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</si>
  <si>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</si>
  <si>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</si>
  <si>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</si>
  <si>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</si>
  <si>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</si>
  <si>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</si>
  <si>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</si>
  <si>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</si>
  <si>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</si>
  <si>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</si>
  <si>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</si>
  <si>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</si>
  <si>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</si>
  <si>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</si>
  <si>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</si>
  <si>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</si>
  <si>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</si>
  <si>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</si>
  <si>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</si>
  <si>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</si>
  <si>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</si>
  <si>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</si>
  <si>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</si>
  <si>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</si>
  <si>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</si>
  <si>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</si>
  <si>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</si>
  <si>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</si>
  <si>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</si>
  <si>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</si>
  <si>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</si>
  <si>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</si>
  <si>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</si>
  <si>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</si>
  <si>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</si>
  <si>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</si>
  <si>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</si>
  <si>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</si>
  <si>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</si>
  <si>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</si>
  <si>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</si>
  <si>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</si>
  <si>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</si>
  <si>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</si>
  <si>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</si>
  <si>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</si>
  <si>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</si>
  <si>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</si>
  <si>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</si>
  <si>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</si>
  <si>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</si>
  <si>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</si>
  <si>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</si>
  <si>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</si>
  <si>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</si>
  <si>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</si>
  <si>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</si>
  <si>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</si>
  <si>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</si>
  <si>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</si>
  <si>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</si>
  <si>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</si>
  <si>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</si>
  <si>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</si>
  <si>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</si>
  <si>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</si>
  <si>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</si>
  <si>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</si>
  <si>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</si>
  <si>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</si>
  <si>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</si>
  <si>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</si>
  <si>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</si>
  <si>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</si>
  <si>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</si>
  <si>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</si>
  <si>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</si>
  <si>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</si>
  <si>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</si>
  <si>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</si>
  <si>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</si>
  <si>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</si>
  <si>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</si>
  <si>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</si>
  <si>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</si>
  <si>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</si>
  <si>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</si>
  <si>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</si>
  <si>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</si>
  <si>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</si>
  <si>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</si>
  <si>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</si>
  <si>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</si>
  <si>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</si>
  <si>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</si>
  <si>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</si>
  <si>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</si>
  <si>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</si>
  <si>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</si>
  <si>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</si>
  <si>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</si>
  <si>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</si>
  <si>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</si>
  <si>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</si>
  <si>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</si>
  <si>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</si>
  <si>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</si>
  <si>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</si>
  <si>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</si>
  <si>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</si>
  <si>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</si>
  <si>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</si>
  <si>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</si>
  <si>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</si>
  <si>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</si>
  <si>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</si>
  <si>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</si>
  <si>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</si>
  <si>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</si>
  <si>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</si>
  <si>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</si>
  <si>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</si>
  <si>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</si>
  <si>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</si>
  <si>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</si>
  <si>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</si>
  <si>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</si>
  <si>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</si>
  <si>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</si>
  <si>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</si>
  <si>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</si>
  <si>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</si>
  <si>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</si>
  <si>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</si>
  <si>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</si>
  <si>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</si>
  <si>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</si>
  <si>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</si>
  <si>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</si>
  <si>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</si>
  <si>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</si>
  <si>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</si>
  <si>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</si>
  <si>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</si>
  <si>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</si>
  <si>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</si>
  <si>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</si>
  <si>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</si>
  <si>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</si>
  <si>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</si>
  <si>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</si>
  <si>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</si>
  <si>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</si>
  <si>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</si>
  <si>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</si>
  <si>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</si>
  <si>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</si>
  <si>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</si>
  <si>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</si>
  <si>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</si>
  <si>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</si>
  <si>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</si>
  <si>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</si>
  <si>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</si>
  <si>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</si>
  <si>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</si>
  <si>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</si>
  <si>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</si>
  <si>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</si>
  <si>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</si>
  <si>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</si>
  <si>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</si>
  <si>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</si>
  <si>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</si>
  <si>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</si>
  <si>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</si>
  <si>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</si>
  <si>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</si>
  <si>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</si>
  <si>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</si>
  <si>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</si>
  <si>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</si>
  <si>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</si>
  <si>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</si>
  <si>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</si>
  <si>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</si>
  <si>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</si>
  <si>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</si>
  <si>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</si>
  <si>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</si>
  <si>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</si>
  <si>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</si>
  <si>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</si>
  <si>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</si>
  <si>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</si>
  <si>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</si>
  <si>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</si>
  <si>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</si>
  <si>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</si>
  <si>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</si>
  <si>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</si>
  <si>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</si>
  <si>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</si>
  <si>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</si>
  <si>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</si>
  <si>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</si>
  <si>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</si>
  <si>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</si>
  <si>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</si>
  <si>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</si>
  <si>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</si>
  <si>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</si>
  <si>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</si>
  <si>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</si>
  <si>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</si>
  <si>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</si>
  <si>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</si>
  <si>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</si>
  <si>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</si>
  <si>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</si>
  <si>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</si>
  <si>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</si>
  <si>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</si>
  <si>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</si>
  <si>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</si>
  <si>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</si>
  <si>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</si>
  <si>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</si>
  <si>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</si>
  <si>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</si>
  <si>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</si>
  <si>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</si>
  <si>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</si>
  <si>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</si>
  <si>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</si>
  <si>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</si>
  <si>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</si>
  <si>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</si>
  <si>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</si>
  <si>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</si>
  <si>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</si>
  <si>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</si>
  <si>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</si>
  <si>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</si>
  <si>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</si>
  <si>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</si>
  <si>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</si>
  <si>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</si>
  <si>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</si>
  <si>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</si>
  <si>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</si>
  <si>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</si>
  <si>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</si>
  <si>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</si>
  <si>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</si>
  <si>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</si>
  <si>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</si>
  <si>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</si>
  <si>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</si>
  <si>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</si>
  <si>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</si>
  <si>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</si>
  <si>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</si>
  <si>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</si>
  <si>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</si>
  <si>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</si>
  <si>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</si>
  <si>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</si>
  <si>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</si>
  <si>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</si>
  <si>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</si>
  <si>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</si>
  <si>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</si>
  <si>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</si>
  <si>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</si>
  <si>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</si>
  <si>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</si>
  <si>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</si>
  <si>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</si>
  <si>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</si>
  <si>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</si>
  <si>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</si>
  <si>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</si>
  <si>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</si>
  <si>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</si>
  <si>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</si>
  <si>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</si>
  <si>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</si>
  <si>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</si>
  <si>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</si>
  <si>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</si>
  <si>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</si>
  <si>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</si>
  <si>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</si>
  <si>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</si>
  <si>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</si>
  <si>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</si>
  <si>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</si>
  <si>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</si>
  <si>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</si>
  <si>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</si>
  <si>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</si>
  <si>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</si>
  <si>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</si>
  <si>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</si>
  <si>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</si>
  <si>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</si>
  <si>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</si>
  <si>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</si>
  <si>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</si>
  <si>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</si>
  <si>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</si>
  <si>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</si>
  <si>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</si>
  <si>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</si>
  <si>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</si>
  <si>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</si>
  <si>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</si>
  <si>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</si>
  <si>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</si>
  <si>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</si>
  <si>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</si>
  <si>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</si>
  <si>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</si>
  <si>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</si>
  <si>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</si>
  <si>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</si>
  <si>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</si>
  <si>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</si>
  <si>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</si>
  <si>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</si>
  <si>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</si>
  <si>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</si>
  <si>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</si>
  <si>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</si>
  <si>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</si>
  <si>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</si>
  <si>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</si>
  <si>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</si>
  <si>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</si>
  <si>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</si>
  <si>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</si>
  <si>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</si>
  <si>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</si>
  <si>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</si>
  <si>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</si>
  <si>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</si>
  <si>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</si>
  <si>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</si>
  <si>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</si>
  <si>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</si>
  <si>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</si>
  <si>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</si>
  <si>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</si>
  <si>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</si>
  <si>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</si>
  <si>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</si>
  <si>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</si>
  <si>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</si>
  <si>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</si>
  <si>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</si>
  <si>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</si>
  <si>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</si>
  <si>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</si>
  <si>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</si>
  <si>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</si>
  <si>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</si>
  <si>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</si>
  <si>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</si>
  <si>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</si>
  <si>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</si>
  <si>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</si>
  <si>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</si>
  <si>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</si>
  <si>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</si>
  <si>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</si>
  <si>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</si>
  <si>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</si>
  <si>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</si>
  <si>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</si>
  <si>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</si>
  <si>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</si>
  <si>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</si>
  <si>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</si>
  <si>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</si>
  <si>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</si>
  <si>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</si>
  <si>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</si>
  <si>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</si>
  <si>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</si>
  <si>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</si>
  <si>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</si>
  <si>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</si>
  <si>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</si>
  <si>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</si>
  <si>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</si>
  <si>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</si>
  <si>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</si>
  <si>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</si>
  <si>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</si>
  <si>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</si>
  <si>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</si>
  <si>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</si>
  <si>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</si>
  <si>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</si>
  <si>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</si>
  <si>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</si>
  <si>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</si>
  <si>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</si>
  <si>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</si>
  <si>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</si>
  <si>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</si>
  <si>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</si>
  <si>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</si>
  <si>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</si>
  <si>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</si>
  <si>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</si>
  <si>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</si>
  <si>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</si>
  <si>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</si>
  <si>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</si>
  <si>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</si>
  <si>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</si>
  <si>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</si>
  <si>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</si>
  <si>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</si>
  <si>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</si>
  <si>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</si>
  <si>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</si>
  <si>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</si>
  <si>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</si>
  <si>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</si>
  <si>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</si>
  <si>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</si>
  <si>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</si>
  <si>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</si>
  <si>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</si>
  <si>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</si>
  <si>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</si>
  <si>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</si>
  <si>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</si>
  <si>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</si>
  <si>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</si>
  <si>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</si>
  <si>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</si>
  <si>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</si>
  <si>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</si>
  <si>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</si>
  <si>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</si>
  <si>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</si>
  <si>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</si>
  <si>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</si>
  <si>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</si>
  <si>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</si>
  <si>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</si>
  <si>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</si>
  <si>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</si>
  <si>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</si>
  <si>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</si>
  <si>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</si>
  <si>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</si>
  <si>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</si>
  <si>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</si>
  <si>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</si>
  <si>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</si>
  <si>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</si>
  <si>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</si>
  <si>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</si>
  <si>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</si>
  <si>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</si>
  <si>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</si>
  <si>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</si>
  <si>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</si>
  <si>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</si>
  <si>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</si>
  <si>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</si>
  <si>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</si>
  <si>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</si>
  <si>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</si>
  <si>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</si>
  <si>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</si>
  <si>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</si>
  <si>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</si>
  <si>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</si>
  <si>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</si>
  <si>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</si>
  <si>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</si>
  <si>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</si>
  <si>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</si>
  <si>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</si>
  <si>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</si>
  <si>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</si>
  <si>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</si>
  <si>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</si>
  <si>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</si>
  <si>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</si>
  <si>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</si>
  <si>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</si>
  <si>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</si>
  <si>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</si>
  <si>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</si>
  <si>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</si>
  <si>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</si>
  <si>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</si>
  <si>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</si>
  <si>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</si>
  <si>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</si>
  <si>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</si>
  <si>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</si>
  <si>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</si>
  <si>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</si>
  <si>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</si>
  <si>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</si>
  <si>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</si>
  <si>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</si>
  <si>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</si>
  <si>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</si>
  <si>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</si>
  <si>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</si>
  <si>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</si>
  <si>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</si>
  <si>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</si>
  <si>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</si>
  <si>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</si>
  <si>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</si>
  <si>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</si>
  <si>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</si>
  <si>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</si>
  <si>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</si>
  <si>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</si>
  <si>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</si>
  <si>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</si>
  <si>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</si>
  <si>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</si>
  <si>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</si>
  <si>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</si>
  <si>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</si>
  <si>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</si>
  <si>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</si>
  <si>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</si>
  <si>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</si>
  <si>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</si>
  <si>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</si>
  <si>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</si>
  <si>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</si>
  <si>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</si>
  <si>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</si>
  <si>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</si>
  <si>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</si>
  <si>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</si>
  <si>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</si>
  <si>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</si>
  <si>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</si>
  <si>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</si>
  <si>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</si>
  <si>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</si>
  <si>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</si>
  <si>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</si>
  <si>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</si>
  <si>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</si>
  <si>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</si>
  <si>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</si>
  <si>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</si>
  <si>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</si>
  <si>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</si>
  <si>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</si>
  <si>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</si>
  <si>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</si>
  <si>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</si>
  <si>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</si>
  <si>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</si>
  <si>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</si>
  <si>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</si>
  <si>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</si>
  <si>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</si>
  <si>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</si>
  <si>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</si>
  <si>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</si>
  <si>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</si>
  <si>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</si>
  <si>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</si>
  <si>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</si>
  <si>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</si>
  <si>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</si>
  <si>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</si>
  <si>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</si>
  <si>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</si>
  <si>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</si>
  <si>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</si>
  <si>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</si>
  <si>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</si>
  <si>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</si>
  <si>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</si>
  <si>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</si>
  <si>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</si>
  <si>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</si>
  <si>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</si>
  <si>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</si>
  <si>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</si>
  <si>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</si>
  <si>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</si>
  <si>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</si>
  <si>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</si>
  <si>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</si>
  <si>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</si>
  <si>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</si>
  <si>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</si>
  <si>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</si>
  <si>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</si>
  <si>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</si>
  <si>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</si>
  <si>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</si>
  <si>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</si>
  <si>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</si>
  <si>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</si>
  <si>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</si>
  <si>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</si>
  <si>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</si>
  <si>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</si>
  <si>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</si>
  <si>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</si>
  <si>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</si>
  <si>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</si>
  <si>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</si>
  <si>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</si>
  <si>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</si>
  <si>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</si>
  <si>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</si>
  <si>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</si>
  <si>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</si>
  <si>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</si>
  <si>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</si>
  <si>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</si>
  <si>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</si>
  <si>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</si>
  <si>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</si>
  <si>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</si>
  <si>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</si>
  <si>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</si>
  <si>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</si>
  <si>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</si>
  <si>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</si>
  <si>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</si>
  <si>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</si>
  <si>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</si>
  <si>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</si>
  <si>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</si>
  <si>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</si>
  <si>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</si>
  <si>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</si>
  <si>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</si>
  <si>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</si>
  <si>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</si>
  <si>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</si>
  <si>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</si>
  <si>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</si>
  <si>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</si>
  <si>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</si>
  <si>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</si>
  <si>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</si>
  <si>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</si>
  <si>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</si>
  <si>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</si>
  <si>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</si>
  <si>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</si>
  <si>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</si>
  <si>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</si>
  <si>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</si>
  <si>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</si>
  <si>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</si>
  <si>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</si>
  <si>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</si>
  <si>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</si>
  <si>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</si>
  <si>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</si>
  <si>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</si>
  <si>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</si>
  <si>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</si>
  <si>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</si>
  <si>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</si>
  <si>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</si>
  <si>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</si>
  <si>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</si>
  <si>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</si>
  <si>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</si>
  <si>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</si>
  <si>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</si>
  <si>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</si>
  <si>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</si>
  <si>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</si>
  <si>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</si>
  <si>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</si>
  <si>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</si>
  <si>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</si>
  <si>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</si>
  <si>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</si>
  <si>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</si>
  <si>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</si>
  <si>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</si>
  <si>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</si>
  <si>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</si>
  <si>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</si>
  <si>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</si>
  <si>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</si>
  <si>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</si>
  <si>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</si>
  <si>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</si>
  <si>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</si>
  <si>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</si>
  <si>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</si>
  <si>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</si>
  <si>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</si>
  <si>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</si>
  <si>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</si>
  <si>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</si>
  <si>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</si>
  <si>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</si>
  <si>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</si>
  <si>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</si>
  <si>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</si>
  <si>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</si>
  <si>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</si>
  <si>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</si>
  <si>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</si>
  <si>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</si>
  <si>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</si>
  <si>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</si>
  <si>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</si>
  <si>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</si>
  <si>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</si>
  <si>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</si>
  <si>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</si>
  <si>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</si>
  <si>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</si>
  <si>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</si>
  <si>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</si>
  <si>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</si>
  <si>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</si>
  <si>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</si>
  <si>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</si>
  <si>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</si>
  <si>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</si>
  <si>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</si>
  <si>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</si>
  <si>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</si>
  <si>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</si>
  <si>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</si>
  <si>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</si>
  <si>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</si>
  <si>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</si>
  <si>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</si>
  <si>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</si>
  <si>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</si>
  <si>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</si>
  <si>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</si>
  <si>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</si>
  <si>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</si>
  <si>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</si>
  <si>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</si>
  <si>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</si>
  <si>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</si>
  <si>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</si>
  <si>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</si>
  <si>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</si>
  <si>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</si>
  <si>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</si>
  <si>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</si>
  <si>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</si>
  <si>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</si>
  <si>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</si>
  <si>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</si>
  <si>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</si>
  <si>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</si>
  <si>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</si>
  <si>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</si>
  <si>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</si>
  <si>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</si>
  <si>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</si>
  <si>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</si>
  <si>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</si>
  <si>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</si>
  <si>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</si>
  <si>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</si>
  <si>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</si>
  <si>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</si>
  <si>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</si>
  <si>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</si>
  <si>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</si>
  <si>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</si>
  <si>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</si>
  <si>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</si>
  <si>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</si>
  <si>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</si>
  <si>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</si>
  <si>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</si>
  <si>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</si>
  <si>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</si>
  <si>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</si>
  <si>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</si>
  <si>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</si>
  <si>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</si>
  <si>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</si>
  <si>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</si>
  <si>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</si>
  <si>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</si>
  <si>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</si>
  <si>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</si>
  <si>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</si>
  <si>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</si>
  <si>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</si>
  <si>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</si>
  <si>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</si>
  <si>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</si>
  <si>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</si>
  <si>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</si>
  <si>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</si>
  <si>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</si>
  <si>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</si>
  <si>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</si>
  <si>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</si>
  <si>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</si>
  <si>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</si>
  <si>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</si>
  <si>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</si>
  <si>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</si>
  <si>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</si>
  <si>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</si>
  <si>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</si>
  <si>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</si>
  <si>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</si>
  <si>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</si>
  <si>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</si>
  <si>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</si>
  <si>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</si>
  <si>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</si>
  <si>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</si>
  <si>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</si>
  <si>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</si>
  <si>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</si>
  <si>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</si>
  <si>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</si>
  <si>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</si>
  <si>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</si>
  <si>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</si>
  <si>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</si>
  <si>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</si>
  <si>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</si>
  <si>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</si>
  <si>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</si>
  <si>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</si>
  <si>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</si>
  <si>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</si>
  <si>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</si>
  <si>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</si>
  <si>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</si>
  <si>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</si>
  <si>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</si>
  <si>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</si>
  <si>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</si>
  <si>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</si>
  <si>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</si>
  <si>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</si>
  <si>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</si>
  <si>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</si>
  <si>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</si>
  <si>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</si>
  <si>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</si>
  <si>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</si>
  <si>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</si>
  <si>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</si>
  <si>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</si>
  <si>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</si>
  <si>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</si>
  <si>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</si>
  <si>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</si>
  <si>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</si>
  <si>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</si>
  <si>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</si>
  <si>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</si>
  <si>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</si>
  <si>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</si>
  <si>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</si>
  <si>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</si>
  <si>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</si>
  <si>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</si>
  <si>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</si>
  <si>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</si>
  <si>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</si>
  <si>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</si>
  <si>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</si>
  <si>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</si>
  <si>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</si>
  <si>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</si>
  <si>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</si>
  <si>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</si>
  <si>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</si>
  <si>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</si>
  <si>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</si>
  <si>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</si>
  <si>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</si>
  <si>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</si>
  <si>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</si>
  <si>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</si>
  <si>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</si>
  <si>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</si>
  <si>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</si>
  <si>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</si>
  <si>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</si>
  <si>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</si>
  <si>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</si>
  <si>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</si>
  <si>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</si>
  <si>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</si>
  <si>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</si>
  <si>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</si>
  <si>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</si>
  <si>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</si>
  <si>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</si>
  <si>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</si>
  <si>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</si>
  <si>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</si>
  <si>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</si>
  <si>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</si>
  <si>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</si>
  <si>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</si>
  <si>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</si>
  <si>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</si>
  <si>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</si>
  <si>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</si>
  <si>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</si>
  <si>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</si>
  <si>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</si>
  <si>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</si>
  <si>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</si>
  <si>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</si>
  <si>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</si>
  <si>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</si>
  <si>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</si>
  <si>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</si>
  <si>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</si>
  <si>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</si>
  <si>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</si>
  <si>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</si>
  <si>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</si>
  <si>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</si>
  <si>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</si>
  <si>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</si>
  <si>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</si>
  <si>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</si>
  <si>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</si>
  <si>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</si>
  <si>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</si>
  <si>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</si>
  <si>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</si>
  <si>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</si>
  <si>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</si>
  <si>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</si>
  <si>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</si>
  <si>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</si>
  <si>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</si>
  <si>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</si>
  <si>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</si>
  <si>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</si>
  <si>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</si>
  <si>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</si>
  <si>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</si>
  <si>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</si>
  <si>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</si>
  <si>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</si>
  <si>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</si>
  <si>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</si>
  <si>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</si>
  <si>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</si>
  <si>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</si>
  <si>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</si>
  <si>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</si>
  <si>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</si>
  <si>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</si>
  <si>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</si>
  <si>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</si>
  <si>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</si>
  <si>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</si>
  <si>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</si>
  <si>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</si>
  <si>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</si>
  <si>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</si>
  <si>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</si>
  <si>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</si>
  <si>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</si>
  <si>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</si>
  <si>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</si>
  <si>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</si>
  <si>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</si>
  <si>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</si>
  <si>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</si>
  <si>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</si>
  <si>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</si>
  <si>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</si>
  <si>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</si>
  <si>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</si>
  <si>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</si>
  <si>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</si>
  <si>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</si>
  <si>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</si>
  <si>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</si>
  <si>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</si>
  <si>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</si>
  <si>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</si>
  <si>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</si>
  <si>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</si>
  <si>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</si>
  <si>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</si>
  <si>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</si>
  <si>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</si>
  <si>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</si>
  <si>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</si>
  <si>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</si>
  <si>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</si>
  <si>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</si>
  <si>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</si>
  <si>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</si>
  <si>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</si>
  <si>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</si>
  <si>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</si>
  <si>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</si>
  <si>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</si>
  <si>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</si>
  <si>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</si>
  <si>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</si>
  <si>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</si>
  <si>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</si>
  <si>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</si>
  <si>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</si>
  <si>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</si>
  <si>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</si>
  <si>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</si>
  <si>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</si>
  <si>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</si>
  <si>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</si>
  <si>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</si>
  <si>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</si>
  <si>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</si>
  <si>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</si>
  <si>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</si>
  <si>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</si>
  <si>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</si>
  <si>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</si>
  <si>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</si>
  <si>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</si>
  <si>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</si>
  <si>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</si>
  <si>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</si>
  <si>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</si>
  <si>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</si>
  <si>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</si>
  <si>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</si>
  <si>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</si>
  <si>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</si>
  <si>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</si>
  <si>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</si>
  <si>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</si>
  <si>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</si>
  <si>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</si>
  <si>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</si>
  <si>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</si>
  <si>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</si>
  <si>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</si>
  <si>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</si>
  <si>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</si>
  <si>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</si>
  <si>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</si>
  <si>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</si>
  <si>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</si>
  <si>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</si>
  <si>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</si>
  <si>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</si>
  <si>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</si>
  <si>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</si>
  <si>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</si>
  <si>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</si>
  <si>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</si>
  <si>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</si>
  <si>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</si>
  <si>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</si>
  <si>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</si>
  <si>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</si>
  <si>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</si>
  <si>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</si>
  <si>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</si>
  <si>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</si>
  <si>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</si>
  <si>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</si>
  <si>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</si>
  <si>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</si>
  <si>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</si>
  <si>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</si>
  <si>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</si>
  <si>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</si>
  <si>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</si>
  <si>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</si>
  <si>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</si>
  <si>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</si>
  <si>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</si>
  <si>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</si>
  <si>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</si>
  <si>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</si>
  <si>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</si>
  <si>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</si>
  <si>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</si>
  <si>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</si>
  <si>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</si>
  <si>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</si>
  <si>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</si>
  <si>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</si>
  <si>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</si>
  <si>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</si>
  <si>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</si>
  <si>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</si>
  <si>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</si>
  <si>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</si>
  <si>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</si>
  <si>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</si>
  <si>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</si>
  <si>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</si>
  <si>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</si>
  <si>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</si>
  <si>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</si>
  <si>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</si>
  <si>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</si>
  <si>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</si>
  <si>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</si>
  <si>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</si>
  <si>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</si>
  <si>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</si>
  <si>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</si>
  <si>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</si>
  <si>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</si>
  <si>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</si>
  <si>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</si>
  <si>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</si>
  <si>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</si>
  <si>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</si>
  <si>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</si>
  <si>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</si>
  <si>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</si>
  <si>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</si>
  <si>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</si>
  <si>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</si>
  <si>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</si>
  <si>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</si>
  <si>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</si>
  <si>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</si>
  <si>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</si>
  <si>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</si>
  <si>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</si>
  <si>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</si>
  <si>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</si>
  <si>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</si>
  <si>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</si>
  <si>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</si>
  <si>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</si>
  <si>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</si>
  <si>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</si>
  <si>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</si>
  <si>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</si>
  <si>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</si>
  <si>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</si>
  <si>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</si>
  <si>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</si>
  <si>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</si>
  <si>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</si>
  <si>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</si>
  <si>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</si>
  <si>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</si>
  <si>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</si>
  <si>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</si>
  <si>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</si>
  <si>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</si>
  <si>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</si>
  <si>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</si>
  <si>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</si>
  <si>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</si>
  <si>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</si>
  <si>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</si>
  <si>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</si>
  <si>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</si>
  <si>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</si>
  <si>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</si>
  <si>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</si>
  <si>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</si>
  <si>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</si>
  <si>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</si>
  <si>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</si>
  <si>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</si>
  <si>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</si>
  <si>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</si>
  <si>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</si>
  <si>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</si>
  <si>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</si>
  <si>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</si>
  <si>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</si>
  <si>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</si>
  <si>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</si>
  <si>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</si>
  <si>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</si>
  <si>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</si>
  <si>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</si>
  <si>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</si>
  <si>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</si>
  <si>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</si>
  <si>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</si>
  <si>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</si>
  <si>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</si>
  <si>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</si>
  <si>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</si>
  <si>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</si>
  <si>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</si>
  <si>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</si>
  <si>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</si>
  <si>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</si>
  <si>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</si>
  <si>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</si>
  <si>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</si>
  <si>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</si>
  <si>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</si>
  <si>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</si>
  <si>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</si>
  <si>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</si>
  <si>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</si>
  <si>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</si>
  <si>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</si>
  <si>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</si>
  <si>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</si>
  <si>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</si>
  <si>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</si>
  <si>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</si>
  <si>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</si>
  <si>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</si>
  <si>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</si>
  <si>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</si>
  <si>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</si>
  <si>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</si>
  <si>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</si>
  <si>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</si>
  <si>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</si>
  <si>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</si>
  <si>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</si>
  <si>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</si>
  <si>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</si>
  <si>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</si>
  <si>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</si>
  <si>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</si>
  <si>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</si>
  <si>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</si>
  <si>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</si>
  <si>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</si>
  <si>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</si>
  <si>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</si>
  <si>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</si>
  <si>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</si>
  <si>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</si>
  <si>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</si>
  <si>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</si>
  <si>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</si>
  <si>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</si>
  <si>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</si>
  <si>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</si>
  <si>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</si>
  <si>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</si>
  <si>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</si>
  <si>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</si>
  <si>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</si>
  <si>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</si>
  <si>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</si>
  <si>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</si>
  <si>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</si>
  <si>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</si>
  <si>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</si>
  <si>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</si>
  <si>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</si>
  <si>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</si>
  <si>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</si>
  <si>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</si>
  <si>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</si>
  <si>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</si>
  <si>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</si>
  <si>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</si>
  <si>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</si>
  <si>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</si>
  <si>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</si>
  <si>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</si>
  <si>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</si>
  <si>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</si>
  <si>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</si>
  <si>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</si>
  <si>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</si>
  <si>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</si>
  <si>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</si>
  <si>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</si>
  <si>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</si>
  <si>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</si>
  <si>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</si>
  <si>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</si>
  <si>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</si>
  <si>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</si>
  <si>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</si>
  <si>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</si>
  <si>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</si>
  <si>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</si>
  <si>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</si>
  <si>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</si>
  <si>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</si>
  <si>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</si>
  <si>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</si>
  <si>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</si>
  <si>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</si>
  <si>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</si>
  <si>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</si>
  <si>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</si>
  <si>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</si>
  <si>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</si>
  <si>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</si>
  <si>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</si>
  <si>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</si>
  <si>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</si>
  <si>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</si>
  <si>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</si>
  <si>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</si>
  <si>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</si>
  <si>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</si>
  <si>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</si>
  <si>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</si>
  <si>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</si>
  <si>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</si>
  <si>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</si>
  <si>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</si>
  <si>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</si>
  <si>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</si>
  <si>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</si>
  <si>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</si>
  <si>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</si>
  <si>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</si>
  <si>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</si>
  <si>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</si>
  <si>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</si>
  <si>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</si>
  <si>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</si>
  <si>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</si>
  <si>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</si>
  <si>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</si>
  <si>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</si>
  <si>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</si>
  <si>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</si>
  <si>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</si>
  <si>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</si>
  <si>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</si>
  <si>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</si>
  <si>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</si>
  <si>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</si>
  <si>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</si>
  <si>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</si>
  <si>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</si>
  <si>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</si>
  <si>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</si>
  <si>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</si>
  <si>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</si>
  <si>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</si>
  <si>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</si>
  <si>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</si>
  <si>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</si>
  <si>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</si>
  <si>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</si>
  <si>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</si>
  <si>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</si>
  <si>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</si>
  <si>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</si>
  <si>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</si>
  <si>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</si>
  <si>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</si>
  <si>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</si>
  <si>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</si>
  <si>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</si>
  <si>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</si>
  <si>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</si>
  <si>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</si>
  <si>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</si>
  <si>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</si>
  <si>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</si>
  <si>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</si>
  <si>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</si>
  <si>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</si>
  <si>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</si>
  <si>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</si>
  <si>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</si>
  <si>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</si>
  <si>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</si>
  <si>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</si>
  <si>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</si>
  <si>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</si>
  <si>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</si>
  <si>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</si>
  <si>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</si>
  <si>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</si>
  <si>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</si>
  <si>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</si>
  <si>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</si>
  <si>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</si>
  <si>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</si>
  <si>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</si>
  <si>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</si>
  <si>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</si>
  <si>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</si>
  <si>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</si>
  <si>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</si>
  <si>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</si>
  <si>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</si>
  <si>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</si>
  <si>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</si>
  <si>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</si>
  <si>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</si>
  <si>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</si>
  <si>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</si>
  <si>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</si>
  <si>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</si>
  <si>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</si>
  <si>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</si>
  <si>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</si>
  <si>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</si>
  <si>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</si>
  <si>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</si>
  <si>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</si>
  <si>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</si>
  <si>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</si>
  <si>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</si>
  <si>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</si>
  <si>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</si>
  <si>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</si>
  <si>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</si>
  <si>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</si>
  <si>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</si>
  <si>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</si>
  <si>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</si>
  <si>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</si>
  <si>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</si>
  <si>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</si>
  <si>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</si>
  <si>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</si>
  <si>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</si>
  <si>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</si>
  <si>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</si>
  <si>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</si>
  <si>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</si>
  <si>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</si>
  <si>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</si>
  <si>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</si>
  <si>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</si>
  <si>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</si>
  <si>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</si>
  <si>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</si>
  <si>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</si>
  <si>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</si>
  <si>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</si>
  <si>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</si>
  <si>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</si>
  <si>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</si>
  <si>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</si>
  <si>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</si>
  <si>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</si>
  <si>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</si>
  <si>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</si>
  <si>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</si>
  <si>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</si>
  <si>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</si>
  <si>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</si>
  <si>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</si>
  <si>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</si>
  <si>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</si>
  <si>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</si>
  <si>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</si>
  <si>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</si>
  <si>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</si>
  <si>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</si>
  <si>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</si>
  <si>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jazdectvo - bežné transfery</t>
  </si>
  <si>
    <t>1/2026</t>
  </si>
  <si>
    <t>poplatok za účet</t>
  </si>
  <si>
    <t>00151653</t>
  </si>
  <si>
    <t>Slovenská sporitelňa a.s.</t>
  </si>
  <si>
    <t>50260151</t>
  </si>
  <si>
    <t>35862289</t>
  </si>
  <si>
    <t>Dom športu s.r.o. Bratislava</t>
  </si>
  <si>
    <t>DF3020250062</t>
  </si>
  <si>
    <t>70260038</t>
  </si>
  <si>
    <t>zDF7020260002</t>
  </si>
  <si>
    <t>203028</t>
  </si>
  <si>
    <t>členské FEI</t>
  </si>
  <si>
    <t>Féderation Equestre Internatiole Lausanne  Švajčiarsko</t>
  </si>
  <si>
    <t>VU 2/2026</t>
  </si>
  <si>
    <t>výpis</t>
  </si>
  <si>
    <t>poplatok za prevod</t>
  </si>
  <si>
    <t>zDF7020260005</t>
  </si>
  <si>
    <t>2640005</t>
  </si>
  <si>
    <t>jazdecké oblečenie pre reprezentáciu 35 ks</t>
  </si>
  <si>
    <t>16211871</t>
  </si>
  <si>
    <t>Rudolf Skŕivan - LITEX, Litomyšl Česká republika</t>
  </si>
  <si>
    <t>zDF7020250006</t>
  </si>
  <si>
    <t>2640004</t>
  </si>
  <si>
    <t>jazdecké oblečenie pre reprezentáciu 45 ks</t>
  </si>
  <si>
    <t>DF3020260032</t>
  </si>
  <si>
    <t>50260096</t>
  </si>
  <si>
    <t>nájom 03</t>
  </si>
  <si>
    <t>zDF7020260015</t>
  </si>
  <si>
    <t>N 0181</t>
  </si>
  <si>
    <t>členské EEF</t>
  </si>
  <si>
    <t>The European Equestrian Federation Belgicko</t>
  </si>
  <si>
    <t>003/2026</t>
  </si>
  <si>
    <t>prenájom jazdeckej haly na záprahové sústredenie 20-22.6.2026</t>
  </si>
  <si>
    <t>42297516</t>
  </si>
  <si>
    <t>Jazdecký klub Czajlik Ranch Dunajský Klatov</t>
  </si>
  <si>
    <t>DF3020260046</t>
  </si>
  <si>
    <t>DF3020260045</t>
  </si>
  <si>
    <t>70260032</t>
  </si>
  <si>
    <t>poštovne 01</t>
  </si>
  <si>
    <t>2/2026</t>
  </si>
  <si>
    <t>VU1/2026</t>
  </si>
  <si>
    <t>nájom 04</t>
  </si>
  <si>
    <t>DF3020250055</t>
  </si>
  <si>
    <t>poštovné 02</t>
  </si>
  <si>
    <t>VV-0003</t>
  </si>
  <si>
    <t>92669004201</t>
  </si>
  <si>
    <t>kancelársky materiál</t>
  </si>
  <si>
    <t>313311131</t>
  </si>
  <si>
    <t>Ševt as. Bratislava</t>
  </si>
  <si>
    <t>VV-0014</t>
  </si>
  <si>
    <t>92669009876</t>
  </si>
  <si>
    <t>obálky</t>
  </si>
  <si>
    <t>VV-0021</t>
  </si>
  <si>
    <t>92669015690</t>
  </si>
  <si>
    <t>obalky bublinkové</t>
  </si>
  <si>
    <t>VV-0027</t>
  </si>
  <si>
    <t>0426</t>
  </si>
  <si>
    <t>8-10.04.2026</t>
  </si>
  <si>
    <t xml:space="preserve">poštovné04 </t>
  </si>
  <si>
    <t>36631124</t>
  </si>
  <si>
    <t>Slovenská piošta a.s. B Bystrica</t>
  </si>
  <si>
    <t>DF3020260072</t>
  </si>
  <si>
    <t>2261106185</t>
  </si>
  <si>
    <t>licencia hudobných diel na podujatiach SJF</t>
  </si>
  <si>
    <t>00178454</t>
  </si>
  <si>
    <t xml:space="preserve">Slovenský ochranný zväaz autorský pre práva k hudobným dielam , Bratislava </t>
  </si>
  <si>
    <t>DF3020260078</t>
  </si>
  <si>
    <t>2261106701</t>
  </si>
  <si>
    <t>DF3020260079</t>
  </si>
  <si>
    <t>2261106694</t>
  </si>
  <si>
    <t>DF3020260081</t>
  </si>
  <si>
    <t>2026120</t>
  </si>
  <si>
    <t>právne služby k podnetom  a rokovaniam SJF</t>
  </si>
  <si>
    <t>47237325</t>
  </si>
  <si>
    <t>LEGAL&amp;CORP s.r.o. Bratislava</t>
  </si>
  <si>
    <t>DF3020260080</t>
  </si>
  <si>
    <t>42297818</t>
  </si>
  <si>
    <t>JK femini team Trnava</t>
  </si>
  <si>
    <t>jazdecké sústredenie skoky  v dňoch 24-26.3.2026-  15 účastníkov - s Albertom Voornom -Bratislava-Záhorská Bystrica</t>
  </si>
  <si>
    <t>DF3020260082</t>
  </si>
  <si>
    <t>GS2600281</t>
  </si>
  <si>
    <t>škrabka na kopyto a kľúčenka  100 ks s logom SJF</t>
  </si>
  <si>
    <t>36377732</t>
  </si>
  <si>
    <t>Greenfield, s.r.o. Veľký Slavkov</t>
  </si>
  <si>
    <t>DF3020260087</t>
  </si>
  <si>
    <t>70260069</t>
  </si>
  <si>
    <t>poštovné 03</t>
  </si>
  <si>
    <t>DF3020260088</t>
  </si>
  <si>
    <t>2026007</t>
  </si>
  <si>
    <t>jazdecké sústredenie Military a skoky s Margit Appelt 14-15.3.2026 18 jazdcov v Motešice</t>
  </si>
  <si>
    <t>42025265</t>
  </si>
  <si>
    <t>TJ Žreebčín Motešice</t>
  </si>
  <si>
    <t>DF3020260089</t>
  </si>
  <si>
    <t>102600153</t>
  </si>
  <si>
    <t>prenájom priestoru na zasadnutie predsedníctva dňa 23.4.2026</t>
  </si>
  <si>
    <t>DF3020260094</t>
  </si>
  <si>
    <t>3/2026</t>
  </si>
  <si>
    <t>organizačné zabezpečenie skokových jazdeckých pretekov 11-12.4.2026 Záhorská Bystrica</t>
  </si>
  <si>
    <t>42297796</t>
  </si>
  <si>
    <t>Jazdecký klub RS Team Bratislava</t>
  </si>
  <si>
    <t>VU 4/2026</t>
  </si>
  <si>
    <t>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</si>
</sst>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3" val="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2"/>
      <c r="D2" s="322"/>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3"/>
      <c r="D22" s="323"/>
    </row>
    <row r="23" spans="1:4" x14ac:dyDescent="0.2">
      <c r="C23" s="324"/>
      <c r="D23" s="323"/>
    </row>
    <row r="24" spans="1:4" ht="68.099999999999994" customHeight="1" x14ac:dyDescent="0.2">
      <c r="A24" s="23" t="s">
        <v>1235</v>
      </c>
      <c r="C24" s="247"/>
      <c r="D24" s="248"/>
    </row>
    <row r="25" spans="1:4" x14ac:dyDescent="0.2">
      <c r="C25" s="320"/>
      <c r="D25" s="321"/>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JAZDECKÁ FEDERÁCIA, Olympijské námestie 14290/1, Bratislava, 831 04</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31787801</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5" t="s">
        <v>51</v>
      </c>
      <c r="B1" s="325"/>
      <c r="C1" s="325"/>
      <c r="D1" s="325"/>
      <c r="E1" s="325"/>
      <c r="F1" s="325"/>
      <c r="G1" s="325"/>
      <c r="H1" s="325"/>
      <c r="I1" s="52"/>
      <c r="J1" s="37"/>
    </row>
    <row r="2" spans="1:11" ht="15"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5" x14ac:dyDescent="0.25">
      <c r="A3" s="40"/>
      <c r="B3" s="40"/>
      <c r="C3" s="40"/>
      <c r="D3" s="40"/>
      <c r="E3" s="40"/>
      <c r="F3" s="40"/>
      <c r="G3" s="40"/>
      <c r="H3" s="330">
        <f>+Doklady!I101</f>
        <v>46053</v>
      </c>
      <c r="I3" s="330"/>
    </row>
    <row r="4" spans="1:11" ht="15.75" customHeight="1" x14ac:dyDescent="0.2">
      <c r="A4" s="41" t="s">
        <v>52</v>
      </c>
      <c r="B4" s="326" t="s">
        <v>53</v>
      </c>
      <c r="C4" s="327"/>
      <c r="D4" s="327"/>
      <c r="E4" s="328"/>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34" t="s">
        <v>1568</v>
      </c>
      <c r="B1" s="335"/>
      <c r="C1" s="166">
        <v>46142</v>
      </c>
      <c r="D1" s="26"/>
      <c r="G1" s="244">
        <v>46053</v>
      </c>
    </row>
    <row r="2" spans="1:7" ht="15" x14ac:dyDescent="0.25">
      <c r="A2" s="28"/>
      <c r="B2" s="28"/>
      <c r="G2" s="244">
        <v>46081</v>
      </c>
    </row>
    <row r="3" spans="1:7" ht="14.25" x14ac:dyDescent="0.2">
      <c r="A3" s="30" t="s">
        <v>214</v>
      </c>
      <c r="B3" s="332" t="str">
        <f>INDEX(Adr!B:B,Doklady!B102+1)</f>
        <v>SLOVENSKÁ JAZDECKÁ FEDERÁCIA</v>
      </c>
      <c r="C3" s="332"/>
      <c r="D3" s="332"/>
      <c r="G3" s="244">
        <v>46112</v>
      </c>
    </row>
    <row r="4" spans="1:7" ht="14.25" x14ac:dyDescent="0.2">
      <c r="A4" s="30" t="s">
        <v>215</v>
      </c>
      <c r="B4" s="29" t="str">
        <f>RIGHT("0000"&amp;INDEX(Adr!A:A,Doklady!B102+1),8)</f>
        <v>31787801</v>
      </c>
      <c r="G4" s="244">
        <v>46142</v>
      </c>
    </row>
    <row r="5" spans="1:7" ht="14.25" x14ac:dyDescent="0.2">
      <c r="A5" s="30" t="s">
        <v>216</v>
      </c>
      <c r="B5" s="29" t="str">
        <f>INDEX(Adr!D:D,Doklady!B102+1)&amp;", "&amp;INDEX(Adr!E:E,Doklady!B102+1)</f>
        <v>Olympijské námestie 14290/1, Bratislava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v>93128</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93128</v>
      </c>
      <c r="G15" s="244"/>
    </row>
    <row r="16" spans="1:7" ht="14.25" x14ac:dyDescent="0.2">
      <c r="G16" s="244"/>
    </row>
    <row r="17" spans="1:5" ht="72" customHeight="1" x14ac:dyDescent="0.2">
      <c r="A17" s="333" t="s">
        <v>230</v>
      </c>
      <c r="B17" s="333"/>
      <c r="C17" s="333"/>
      <c r="D17" s="333"/>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52" t="s">
        <v>52</v>
      </c>
      <c r="C3" s="345" t="str">
        <f>INDEX(Adr!B2:B242,Doklady!B102)</f>
        <v>SLOVENSKÁ JAZDECKÁ FEDERÁCIA</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31787801</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46" t="s">
        <v>235</v>
      </c>
      <c r="F9" s="347"/>
      <c r="J9" s="8"/>
      <c r="L9" s="118"/>
      <c r="M9" s="118"/>
      <c r="N9" s="118"/>
      <c r="O9" s="118"/>
      <c r="P9" s="118"/>
      <c r="Q9" s="118"/>
      <c r="R9" s="118"/>
      <c r="S9" s="118"/>
    </row>
    <row r="10" spans="1:26" ht="18" x14ac:dyDescent="0.25">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25">
      <c r="A11" s="69" t="s">
        <v>221</v>
      </c>
      <c r="B11" s="70" t="s">
        <v>222</v>
      </c>
      <c r="C11" s="126">
        <f>SUMIF(FP!J:J,Doklady!$B$1&amp;A11,FP!D:D)</f>
        <v>186255</v>
      </c>
      <c r="D11" s="126">
        <f>+C11-E11</f>
        <v>30875.580000000016</v>
      </c>
      <c r="E11" s="348">
        <f>+I39-I42+I44-I47</f>
        <v>155379.41999999998</v>
      </c>
      <c r="F11" s="349"/>
      <c r="J11" s="168"/>
      <c r="L11" s="153" t="str">
        <f>L41</f>
        <v>a - jazdectvo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37">
        <f>SUMIF(K:K,A12,I:I)</f>
        <v>0</v>
      </c>
      <c r="F12" s="338"/>
      <c r="J12" s="169"/>
      <c r="L12" s="153" t="str">
        <f>L42</f>
        <v>a - jazdectvo - kapitálové transfery</v>
      </c>
      <c r="N12" s="118"/>
      <c r="O12" s="118"/>
      <c r="P12" s="118"/>
      <c r="Q12" s="118"/>
      <c r="R12" s="118"/>
      <c r="S12" s="118"/>
    </row>
    <row r="13" spans="1:26" ht="18" x14ac:dyDescent="0.25">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186255</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1" t="s">
        <v>247</v>
      </c>
      <c r="C20" s="342"/>
      <c r="D20" s="342"/>
      <c r="E20" s="342"/>
      <c r="F20" s="342"/>
      <c r="G20" s="342"/>
      <c r="H20" s="343"/>
      <c r="I20" s="73">
        <f>SUMIF(FP!I:I,Doklady!$B$1&amp;A20,FP!D:D)</f>
        <v>0</v>
      </c>
      <c r="T20" s="86"/>
    </row>
    <row r="21" spans="1:20" x14ac:dyDescent="0.2">
      <c r="A21" s="115" t="s">
        <v>248</v>
      </c>
      <c r="B21" s="341" t="s">
        <v>249</v>
      </c>
      <c r="C21" s="342"/>
      <c r="D21" s="342"/>
      <c r="E21" s="342"/>
      <c r="F21" s="342"/>
      <c r="G21" s="342"/>
      <c r="H21" s="343"/>
      <c r="I21" s="73">
        <f>SUMIF(FP!I:I,Doklady!$B$1&amp;A21,FP!D:D)</f>
        <v>0</v>
      </c>
      <c r="T21" s="86"/>
    </row>
    <row r="22" spans="1:20" x14ac:dyDescent="0.2">
      <c r="A22" s="135" t="s">
        <v>250</v>
      </c>
      <c r="B22" s="360" t="s">
        <v>251</v>
      </c>
      <c r="C22" s="361"/>
      <c r="D22" s="361"/>
      <c r="E22" s="361"/>
      <c r="F22" s="361"/>
      <c r="G22" s="361"/>
      <c r="H22" s="362"/>
      <c r="I22" s="73">
        <f>SUMIF(FP!I:I,Doklady!$B$1&amp;A22,FP!D:D)</f>
        <v>0</v>
      </c>
      <c r="T22" s="86"/>
    </row>
    <row r="23" spans="1:20" x14ac:dyDescent="0.2">
      <c r="A23" s="115" t="s">
        <v>252</v>
      </c>
      <c r="B23" s="341" t="s">
        <v>253</v>
      </c>
      <c r="C23" s="342"/>
      <c r="D23" s="342"/>
      <c r="E23" s="342"/>
      <c r="F23" s="342"/>
      <c r="G23" s="342"/>
      <c r="H23" s="343"/>
      <c r="I23" s="73">
        <f>SUMIF(FP!I:I,Doklady!$B$1&amp;A23,FP!D:D)</f>
        <v>0</v>
      </c>
      <c r="T23" s="86"/>
    </row>
    <row r="24" spans="1:20" x14ac:dyDescent="0.2">
      <c r="A24" s="135" t="s">
        <v>254</v>
      </c>
      <c r="B24" s="341" t="s">
        <v>255</v>
      </c>
      <c r="C24" s="342"/>
      <c r="D24" s="342"/>
      <c r="E24" s="342"/>
      <c r="F24" s="342"/>
      <c r="G24" s="342"/>
      <c r="H24" s="343"/>
      <c r="I24" s="73">
        <f>SUMIF(FP!I:I,Doklady!$B$1&amp;A24,FP!D:D)</f>
        <v>0</v>
      </c>
      <c r="T24" s="86"/>
    </row>
    <row r="25" spans="1:20" x14ac:dyDescent="0.2">
      <c r="A25" s="115" t="s">
        <v>256</v>
      </c>
      <c r="B25" s="353" t="s">
        <v>1469</v>
      </c>
      <c r="C25" s="354"/>
      <c r="D25" s="354"/>
      <c r="E25" s="354"/>
      <c r="F25" s="354"/>
      <c r="G25" s="354"/>
      <c r="H25" s="355"/>
      <c r="I25" s="73">
        <f>SUMIF(FP!I:I,Doklady!$B$1&amp;A25,FP!D:D)</f>
        <v>0</v>
      </c>
      <c r="T25" s="86"/>
    </row>
    <row r="26" spans="1:20" x14ac:dyDescent="0.2">
      <c r="A26" s="135" t="s">
        <v>257</v>
      </c>
      <c r="B26" s="341" t="s">
        <v>258</v>
      </c>
      <c r="C26" s="342"/>
      <c r="D26" s="342"/>
      <c r="E26" s="342"/>
      <c r="F26" s="342"/>
      <c r="G26" s="342"/>
      <c r="H26" s="343"/>
      <c r="I26" s="73">
        <f>SUMIF(FP!I:I,Doklady!$B$1&amp;A26,FP!D:D)</f>
        <v>0</v>
      </c>
      <c r="T26" s="86"/>
    </row>
    <row r="27" spans="1:20" x14ac:dyDescent="0.2">
      <c r="A27" s="115" t="s">
        <v>259</v>
      </c>
      <c r="B27" s="341" t="s">
        <v>260</v>
      </c>
      <c r="C27" s="342"/>
      <c r="D27" s="342"/>
      <c r="E27" s="342"/>
      <c r="F27" s="342"/>
      <c r="G27" s="342"/>
      <c r="H27" s="343"/>
      <c r="I27" s="73">
        <f>SUMIF(FP!I:I,Doklady!$B$1&amp;A27,FP!D:D)</f>
        <v>0</v>
      </c>
      <c r="T27" s="86"/>
    </row>
    <row r="28" spans="1:20" x14ac:dyDescent="0.2">
      <c r="A28" s="135" t="s">
        <v>261</v>
      </c>
      <c r="B28" s="341" t="s">
        <v>1482</v>
      </c>
      <c r="C28" s="342"/>
      <c r="D28" s="342"/>
      <c r="E28" s="342"/>
      <c r="F28" s="342"/>
      <c r="G28" s="342"/>
      <c r="H28" s="343"/>
      <c r="I28" s="73">
        <f>SUMIF(FP!I:I,Doklady!$B$1&amp;A28,FP!D:D)</f>
        <v>0</v>
      </c>
      <c r="T28" s="86"/>
    </row>
    <row r="29" spans="1:20" x14ac:dyDescent="0.2">
      <c r="A29" s="115" t="s">
        <v>263</v>
      </c>
      <c r="B29" s="341" t="s">
        <v>264</v>
      </c>
      <c r="C29" s="342"/>
      <c r="D29" s="342"/>
      <c r="E29" s="342"/>
      <c r="F29" s="342"/>
      <c r="G29" s="342"/>
      <c r="H29" s="343"/>
      <c r="I29" s="73">
        <f>SUMIF(FP!I:I,Doklady!$B$1&amp;A29,FP!D:D)</f>
        <v>0</v>
      </c>
      <c r="T29" s="86"/>
    </row>
    <row r="30" spans="1:20" hidden="1" x14ac:dyDescent="0.2">
      <c r="A30" s="135" t="s">
        <v>265</v>
      </c>
      <c r="B30" s="341"/>
      <c r="C30" s="342"/>
      <c r="D30" s="342"/>
      <c r="E30" s="342"/>
      <c r="F30" s="342"/>
      <c r="G30" s="342"/>
      <c r="H30" s="343"/>
      <c r="I30" s="73">
        <f>SUMIF(FP!I:I,Doklady!$B$1&amp;A30,FP!D:D)</f>
        <v>0</v>
      </c>
      <c r="T30" s="86"/>
    </row>
    <row r="31" spans="1:20" hidden="1" x14ac:dyDescent="0.2">
      <c r="A31" s="115" t="s">
        <v>266</v>
      </c>
      <c r="B31" s="341"/>
      <c r="C31" s="342"/>
      <c r="D31" s="342"/>
      <c r="E31" s="342"/>
      <c r="F31" s="342"/>
      <c r="G31" s="342"/>
      <c r="H31" s="343"/>
      <c r="I31" s="73">
        <f>SUMIF(FP!I:I,Doklady!$B$1&amp;A31,FP!D:D)</f>
        <v>0</v>
      </c>
      <c r="T31" s="86"/>
    </row>
    <row r="32" spans="1:20" hidden="1" x14ac:dyDescent="0.2">
      <c r="A32" s="135" t="s">
        <v>267</v>
      </c>
      <c r="B32" s="363"/>
      <c r="C32" s="364"/>
      <c r="D32" s="364"/>
      <c r="E32" s="364"/>
      <c r="F32" s="364"/>
      <c r="G32" s="364"/>
      <c r="H32" s="365"/>
      <c r="I32" s="73">
        <f>SUMIF(FP!I:I,Doklady!$B$1&amp;A32,FP!D:D)</f>
        <v>0</v>
      </c>
      <c r="T32" s="86"/>
    </row>
    <row r="33" spans="1:21" hidden="1" x14ac:dyDescent="0.2">
      <c r="A33" s="115" t="s">
        <v>268</v>
      </c>
      <c r="B33" s="363"/>
      <c r="C33" s="364"/>
      <c r="D33" s="364"/>
      <c r="E33" s="364"/>
      <c r="F33" s="364"/>
      <c r="G33" s="364"/>
      <c r="H33" s="365"/>
      <c r="I33" s="73">
        <f>SUMIF(FP!I:I,Doklady!$B$1&amp;A33,FP!D:D)</f>
        <v>0</v>
      </c>
      <c r="T33" s="86"/>
    </row>
    <row r="34" spans="1:21" hidden="1" x14ac:dyDescent="0.2">
      <c r="A34" s="135" t="s">
        <v>269</v>
      </c>
      <c r="B34" s="366"/>
      <c r="C34" s="366"/>
      <c r="D34" s="366"/>
      <c r="E34" s="366"/>
      <c r="F34" s="366"/>
      <c r="G34" s="366"/>
      <c r="H34" s="366"/>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jazdectvo</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37251</v>
      </c>
      <c r="D39" s="78">
        <f>I39*0.2</f>
        <v>37251</v>
      </c>
      <c r="E39" s="78">
        <f>I39*0.25</f>
        <v>46563.75</v>
      </c>
      <c r="F39" s="78">
        <f>+I39*0.15</f>
        <v>27938.25</v>
      </c>
      <c r="G39" s="78">
        <f>+MAX(I39-C39-D39-E39-F39-H39,0)</f>
        <v>37251</v>
      </c>
      <c r="H39" s="78">
        <f>+IFERROR(VLOOKUP(K40&amp;" - kapitálové transfery",B$53:C$90,2,0),0)</f>
        <v>0</v>
      </c>
      <c r="I39" s="73">
        <f>SUMIF(FP!K:K,K40,FP!D:D)</f>
        <v>186255</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25485.57</v>
      </c>
      <c r="F40" s="78">
        <f>DSUM(Doklady!A103:J10000,"GGG",Spolu!R40:S42)</f>
        <v>5390.01</v>
      </c>
      <c r="G40" s="78">
        <f>DSUM(Doklady!A103:J10000,"GGG",Spolu!T40:U42)-H40</f>
        <v>0</v>
      </c>
      <c r="H40" s="78">
        <f>+IFERROR(VLOOKUP(K40&amp;" - kapitálové transfery",B$53:D$90,3,0),0)</f>
        <v>0</v>
      </c>
      <c r="I40" s="73">
        <f>+C40+D40+E40+F40+G40+H40</f>
        <v>30875.58</v>
      </c>
      <c r="J40" s="210" t="str">
        <f>+K45</f>
        <v>.</v>
      </c>
      <c r="K40" s="210" t="str">
        <f>IF(L38&gt;0,INDEX(FP!K:K,Doklady!B2),".")</f>
        <v>jazdectvo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37251</v>
      </c>
      <c r="D41" s="78">
        <f>MAX(D39-D40,0)</f>
        <v>37251</v>
      </c>
      <c r="E41" s="78">
        <f>MAX(E39-E40,0)</f>
        <v>21078.18</v>
      </c>
      <c r="F41" s="78">
        <f>MIN(I39,MAX(-F39+F40,0))</f>
        <v>0</v>
      </c>
      <c r="G41" s="78">
        <f>MIN(J39,MAX(-G39+G40+MIN(F40-F39,0),0))</f>
        <v>0</v>
      </c>
      <c r="H41" s="78">
        <f>MAX(H39-H40,0)</f>
        <v>0</v>
      </c>
      <c r="I41" s="124">
        <f>+I39-I42</f>
        <v>155379.41999999998</v>
      </c>
      <c r="J41" s="211">
        <f>+K46</f>
        <v>0</v>
      </c>
      <c r="K41" s="211">
        <f>+I41-H41</f>
        <v>155379.41999999998</v>
      </c>
      <c r="L41" s="153" t="str">
        <f>IF(L38&gt;0,"a - "&amp;INDEX(FP!C:C,Doklady!B2),2)</f>
        <v>a - jazdectvo - bežné transfery</v>
      </c>
      <c r="M41" s="120">
        <v>1</v>
      </c>
      <c r="N41" s="153" t="str">
        <f>+L41</f>
        <v>a - jazdectvo - bežné transfery</v>
      </c>
      <c r="O41" s="120">
        <v>2</v>
      </c>
      <c r="P41" s="153" t="str">
        <f>+L41</f>
        <v>a - jazdectvo - bežné transfery</v>
      </c>
      <c r="Q41" s="120">
        <v>3</v>
      </c>
      <c r="R41" s="153" t="str">
        <f>+L41</f>
        <v>a - jazdectvo - bežné transfery</v>
      </c>
      <c r="S41" s="120">
        <v>4</v>
      </c>
      <c r="T41" s="153" t="str">
        <f>+L41</f>
        <v>a - jazdectvo - bežné transfery</v>
      </c>
      <c r="U41" s="120">
        <v>5</v>
      </c>
    </row>
    <row r="42" spans="1:21" ht="10.5" customHeight="1" x14ac:dyDescent="0.2">
      <c r="A42" s="115" t="s">
        <v>240</v>
      </c>
      <c r="B42" s="116" t="s">
        <v>277</v>
      </c>
      <c r="C42" s="73">
        <f>+C40</f>
        <v>0</v>
      </c>
      <c r="D42" s="208">
        <f>+D40</f>
        <v>0</v>
      </c>
      <c r="E42" s="208">
        <f>+E40</f>
        <v>25485.57</v>
      </c>
      <c r="F42" s="208">
        <f>+MIN(F39:F40)</f>
        <v>5390.01</v>
      </c>
      <c r="G42" s="208">
        <f>+MIN(G39+MAX(F39-F40,0)-MAX(E40-E39,0)-MAX(D40-D39,0)-MAX(C40-C39,0),G40)</f>
        <v>0</v>
      </c>
      <c r="H42" s="208">
        <f>+MIN(H39:H40)</f>
        <v>0</v>
      </c>
      <c r="I42" s="73">
        <f>+C42+D42+E42+MIN(F39:F40)+G42+H42</f>
        <v>30875.58</v>
      </c>
      <c r="J42" s="211">
        <f>+K47</f>
        <v>0</v>
      </c>
      <c r="K42" s="211">
        <f>+I42-H42</f>
        <v>30875.58</v>
      </c>
      <c r="L42" s="153" t="str">
        <f>+SUBSTITUTE(L41,"bežné","kapitálové")</f>
        <v>a - jazdectvo - kapitálové transfery</v>
      </c>
      <c r="M42" s="120">
        <v>1</v>
      </c>
      <c r="N42" s="153" t="str">
        <f>+L42</f>
        <v>a - jazdectvo - kapitálové transfery</v>
      </c>
      <c r="O42" s="120">
        <v>2</v>
      </c>
      <c r="P42" s="153" t="str">
        <f>+L42</f>
        <v>a - jazdectvo - kapitálové transfery</v>
      </c>
      <c r="Q42" s="120">
        <v>3</v>
      </c>
      <c r="R42" s="153" t="str">
        <f>+L42</f>
        <v>a - jazdectvo - kapitálové transfery</v>
      </c>
      <c r="S42" s="120">
        <v>4</v>
      </c>
      <c r="T42" s="153" t="str">
        <f>+L42</f>
        <v>a - jazdectvo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39"/>
      <c r="B50" s="340"/>
      <c r="C50" s="340"/>
      <c r="D50" s="340"/>
      <c r="E50" s="340"/>
      <c r="F50" s="340"/>
      <c r="G50" s="340"/>
      <c r="H50" s="340"/>
      <c r="I50" s="340"/>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jazdectvo - bežné transfery</v>
      </c>
      <c r="C53" s="73">
        <f>IF(A53&lt;&gt;"",INDEX(FP!D:D,Doklady!B$2+(ROW()-53)),"")</f>
        <v>186255</v>
      </c>
      <c r="D53" s="73">
        <f>IF(A53&lt;&gt;"",Doklady!I1-Doklady!J1,"")</f>
        <v>30875.580000000005</v>
      </c>
      <c r="E53" s="73">
        <f>IF(A53&lt;&gt;"",MIN(D53,C53)*Doklady!C1/(1-Doklady!C1),"")</f>
        <v>0</v>
      </c>
      <c r="F53" s="71">
        <f>IF(A53&lt;&gt;"",Doklady!J1,"")</f>
        <v>0</v>
      </c>
      <c r="G53" s="73">
        <f>+IFERROR(HLOOKUP(IF(RIGHT(B53,15)="bežné transfery",LEFT(B53,LEN(B53)-18),0),$J$40:$K$42,3,0),MIN(C53,D53))</f>
        <v>30875.58</v>
      </c>
      <c r="H53" s="71"/>
      <c r="I53" s="73">
        <f>IF(A53&lt;&gt;"",MAX(IF(G53&lt;C53,C53-G53,0)+IF(F53&lt;E53,E53-F53,0),0),0)</f>
        <v>155379.41999999998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186255</v>
      </c>
      <c r="D130" s="220">
        <f t="shared" ref="D130:I130" si="9">SUM(D53:D129)</f>
        <v>30875.580000000005</v>
      </c>
      <c r="E130" s="220">
        <f t="shared" si="9"/>
        <v>0</v>
      </c>
      <c r="F130" s="220">
        <f t="shared" si="9"/>
        <v>0</v>
      </c>
      <c r="G130" s="220">
        <f t="shared" si="9"/>
        <v>30875.58</v>
      </c>
      <c r="H130" s="220">
        <f t="shared" si="9"/>
        <v>0</v>
      </c>
      <c r="I130" s="220">
        <f t="shared" si="9"/>
        <v>155379.41999999998</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56"/>
      <c r="E140" s="356"/>
      <c r="F140" s="356"/>
      <c r="G140" s="356"/>
      <c r="H140" s="356"/>
      <c r="I140" s="356"/>
      <c r="J140" s="85"/>
    </row>
    <row r="141" spans="1:26" ht="68.25" customHeight="1" x14ac:dyDescent="0.2">
      <c r="A141" s="9"/>
      <c r="B141" s="273" t="s">
        <v>293</v>
      </c>
      <c r="C141" s="206"/>
      <c r="D141" s="336" t="s">
        <v>294</v>
      </c>
      <c r="E141" s="336"/>
      <c r="F141" s="336"/>
      <c r="G141" s="336"/>
      <c r="H141" s="336"/>
      <c r="I141" s="336"/>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12" zoomScaleNormal="100" workbookViewId="0">
      <selection activeCell="D133" sqref="D13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jazdectvo - bežné transfery</v>
      </c>
      <c r="B1" s="224" t="str">
        <f>INDEX(Adr!A:A,B102+1)</f>
        <v>31787801</v>
      </c>
      <c r="C1" s="225">
        <f>IF(ROW()&lt;=B$3,INDEX(FP!E:E,B$2+ROW()-1),"")</f>
        <v>0</v>
      </c>
      <c r="D1" s="226" t="str">
        <f>IF(ROW()&lt;=B$3,INDEX(FP!F:F,B$2+ROW()-1),"")</f>
        <v>a</v>
      </c>
      <c r="E1" s="226"/>
      <c r="F1" s="226" t="str">
        <f>IF(ROW()&lt;=B$3,INDEX(FP!G:G,B$2+ROW()-1),"")</f>
        <v>026 02</v>
      </c>
      <c r="G1" s="226"/>
      <c r="H1" s="227" t="str">
        <f>IF(ROW()&lt;=B$3,INDEX(FP!C:C,B$2+ROW()-1),"")</f>
        <v>jazdectvo - bežné transfery</v>
      </c>
      <c r="I1" s="228">
        <f t="shared" ref="I1:I6" si="0">IF(ROW()&lt;=B$3,SUMIF(A$107:A$10042,A1,I$107:I$10042),"")</f>
        <v>30875.580000000005</v>
      </c>
      <c r="J1" s="228">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73</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67" t="s">
        <v>1486</v>
      </c>
      <c r="B100" s="367"/>
      <c r="C100" s="367"/>
      <c r="D100" s="367"/>
      <c r="E100" s="367"/>
      <c r="F100" s="367"/>
      <c r="G100" s="367"/>
      <c r="H100" s="367"/>
      <c r="I100" s="369" t="s">
        <v>1487</v>
      </c>
      <c r="J100" s="369"/>
      <c r="K100" s="89"/>
    </row>
    <row r="101" spans="1:25" ht="15.75" x14ac:dyDescent="0.25">
      <c r="A101" s="367"/>
      <c r="B101" s="367"/>
      <c r="C101" s="367"/>
      <c r="D101" s="367"/>
      <c r="E101" s="367"/>
      <c r="F101" s="367"/>
      <c r="G101" s="367"/>
      <c r="H101" s="367"/>
      <c r="I101" s="368">
        <v>46053</v>
      </c>
      <c r="J101" s="368"/>
    </row>
    <row r="102" spans="1:25" ht="14.25" x14ac:dyDescent="0.2">
      <c r="A102" s="241" t="s">
        <v>299</v>
      </c>
      <c r="B102" s="242">
        <v>33</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1895</v>
      </c>
      <c r="C107" s="14" t="s">
        <v>1855</v>
      </c>
      <c r="D107" s="16">
        <v>46053</v>
      </c>
      <c r="E107" s="16"/>
      <c r="F107" s="14" t="s">
        <v>1856</v>
      </c>
      <c r="G107" s="14" t="s">
        <v>1857</v>
      </c>
      <c r="H107" s="14" t="s">
        <v>1858</v>
      </c>
      <c r="I107" s="15">
        <v>5</v>
      </c>
      <c r="J107" s="77">
        <v>4</v>
      </c>
      <c r="K107" s="92"/>
    </row>
    <row r="108" spans="1:25" ht="22.5" x14ac:dyDescent="0.2">
      <c r="A108" s="14" t="s">
        <v>1854</v>
      </c>
      <c r="B108" s="14" t="s">
        <v>1864</v>
      </c>
      <c r="C108" s="14" t="s">
        <v>1865</v>
      </c>
      <c r="D108" s="16">
        <v>46055</v>
      </c>
      <c r="E108" s="16"/>
      <c r="F108" s="14" t="s">
        <v>1866</v>
      </c>
      <c r="G108" s="14"/>
      <c r="H108" s="14" t="s">
        <v>1867</v>
      </c>
      <c r="I108" s="15">
        <v>14564.19</v>
      </c>
      <c r="J108" s="77">
        <v>3</v>
      </c>
      <c r="K108" s="92"/>
    </row>
    <row r="109" spans="1:25" ht="12.75" x14ac:dyDescent="0.2">
      <c r="A109" s="14" t="s">
        <v>1854</v>
      </c>
      <c r="B109" s="14" t="s">
        <v>1868</v>
      </c>
      <c r="C109" s="14" t="s">
        <v>1869</v>
      </c>
      <c r="D109" s="16">
        <v>46055</v>
      </c>
      <c r="E109" s="16"/>
      <c r="F109" s="14" t="s">
        <v>1870</v>
      </c>
      <c r="G109" s="14" t="s">
        <v>1857</v>
      </c>
      <c r="H109" s="14" t="s">
        <v>1858</v>
      </c>
      <c r="I109" s="15">
        <v>30</v>
      </c>
      <c r="J109" s="77">
        <v>3</v>
      </c>
      <c r="K109" s="92"/>
    </row>
    <row r="110" spans="1:25" ht="22.5" x14ac:dyDescent="0.2">
      <c r="A110" s="14" t="s">
        <v>1854</v>
      </c>
      <c r="B110" s="14" t="s">
        <v>1871</v>
      </c>
      <c r="C110" s="14" t="s">
        <v>1872</v>
      </c>
      <c r="D110" s="16">
        <v>46056</v>
      </c>
      <c r="E110" s="16"/>
      <c r="F110" s="14" t="s">
        <v>1873</v>
      </c>
      <c r="G110" s="14" t="s">
        <v>1874</v>
      </c>
      <c r="H110" s="14" t="s">
        <v>1875</v>
      </c>
      <c r="I110" s="15">
        <v>2403.67</v>
      </c>
      <c r="J110" s="77">
        <v>3</v>
      </c>
      <c r="K110" s="92"/>
    </row>
    <row r="111" spans="1:25" ht="22.5" x14ac:dyDescent="0.2">
      <c r="A111" s="14" t="s">
        <v>1854</v>
      </c>
      <c r="B111" s="14" t="s">
        <v>1876</v>
      </c>
      <c r="C111" s="14" t="s">
        <v>1877</v>
      </c>
      <c r="D111" s="16">
        <v>46056</v>
      </c>
      <c r="E111" s="16"/>
      <c r="F111" s="14" t="s">
        <v>1878</v>
      </c>
      <c r="G111" s="14" t="s">
        <v>1874</v>
      </c>
      <c r="H111" s="14" t="s">
        <v>1875</v>
      </c>
      <c r="I111" s="15">
        <v>3521.1</v>
      </c>
      <c r="J111" s="77">
        <v>3</v>
      </c>
      <c r="K111" s="92"/>
    </row>
    <row r="112" spans="1:25" ht="22.5" x14ac:dyDescent="0.2">
      <c r="A112" s="14" t="s">
        <v>1854</v>
      </c>
      <c r="B112" s="14" t="s">
        <v>1879</v>
      </c>
      <c r="C112" s="14" t="s">
        <v>1880</v>
      </c>
      <c r="D112" s="16">
        <v>46056</v>
      </c>
      <c r="E112" s="16"/>
      <c r="F112" s="14" t="s">
        <v>1881</v>
      </c>
      <c r="G112" s="14" t="s">
        <v>1860</v>
      </c>
      <c r="H112" s="14" t="s">
        <v>1861</v>
      </c>
      <c r="I112" s="15">
        <v>1303.93</v>
      </c>
      <c r="J112" s="77">
        <v>4</v>
      </c>
      <c r="K112" s="92"/>
    </row>
    <row r="113" spans="1:11" ht="22.5" x14ac:dyDescent="0.2">
      <c r="A113" s="14" t="s">
        <v>1854</v>
      </c>
      <c r="B113" s="14" t="s">
        <v>1882</v>
      </c>
      <c r="C113" s="14" t="s">
        <v>1883</v>
      </c>
      <c r="D113" s="16">
        <v>46056</v>
      </c>
      <c r="E113" s="16"/>
      <c r="F113" s="14" t="s">
        <v>1884</v>
      </c>
      <c r="G113" s="14"/>
      <c r="H113" s="14" t="s">
        <v>1885</v>
      </c>
      <c r="I113" s="15">
        <v>2250</v>
      </c>
      <c r="J113" s="77">
        <v>3</v>
      </c>
      <c r="K113" s="92"/>
    </row>
    <row r="114" spans="1:11" ht="22.5" x14ac:dyDescent="0.2">
      <c r="A114" s="14" t="s">
        <v>1854</v>
      </c>
      <c r="B114" s="14" t="s">
        <v>1890</v>
      </c>
      <c r="C114" s="14" t="s">
        <v>1886</v>
      </c>
      <c r="D114" s="16">
        <v>46077</v>
      </c>
      <c r="E114" s="16"/>
      <c r="F114" s="14" t="s">
        <v>1887</v>
      </c>
      <c r="G114" s="14" t="s">
        <v>1888</v>
      </c>
      <c r="H114" s="14" t="s">
        <v>1889</v>
      </c>
      <c r="I114" s="15">
        <v>1400</v>
      </c>
      <c r="J114" s="77">
        <v>3</v>
      </c>
      <c r="K114" s="92"/>
    </row>
    <row r="115" spans="1:11" ht="22.5" x14ac:dyDescent="0.2">
      <c r="A115" s="14" t="s">
        <v>1854</v>
      </c>
      <c r="B115" s="14" t="s">
        <v>1891</v>
      </c>
      <c r="C115" s="14" t="s">
        <v>1892</v>
      </c>
      <c r="D115" s="16">
        <v>46077</v>
      </c>
      <c r="E115" s="16"/>
      <c r="F115" s="14" t="s">
        <v>1893</v>
      </c>
      <c r="G115" s="14" t="s">
        <v>1860</v>
      </c>
      <c r="H115" s="14" t="s">
        <v>1861</v>
      </c>
      <c r="I115" s="15">
        <v>205.65</v>
      </c>
      <c r="J115" s="77">
        <v>4</v>
      </c>
      <c r="K115" s="92"/>
    </row>
    <row r="116" spans="1:11" ht="12.75" x14ac:dyDescent="0.2">
      <c r="A116" s="14" t="s">
        <v>1854</v>
      </c>
      <c r="B116" s="14" t="s">
        <v>1868</v>
      </c>
      <c r="C116" s="14" t="s">
        <v>1894</v>
      </c>
      <c r="D116" s="16">
        <v>46081</v>
      </c>
      <c r="E116" s="16"/>
      <c r="F116" s="14" t="s">
        <v>1856</v>
      </c>
      <c r="G116" s="14" t="s">
        <v>1857</v>
      </c>
      <c r="H116" s="14" t="s">
        <v>1858</v>
      </c>
      <c r="I116" s="15">
        <v>5</v>
      </c>
      <c r="J116" s="77">
        <v>4</v>
      </c>
      <c r="K116" s="92"/>
    </row>
    <row r="117" spans="1:11" ht="22.5" x14ac:dyDescent="0.2">
      <c r="A117" s="14" t="s">
        <v>1854</v>
      </c>
      <c r="B117" s="14" t="s">
        <v>1897</v>
      </c>
      <c r="C117" s="14" t="s">
        <v>1859</v>
      </c>
      <c r="D117" s="16">
        <v>46085</v>
      </c>
      <c r="E117" s="16"/>
      <c r="F117" s="14" t="s">
        <v>1896</v>
      </c>
      <c r="G117" s="14" t="s">
        <v>1860</v>
      </c>
      <c r="H117" s="14" t="s">
        <v>1861</v>
      </c>
      <c r="I117" s="15">
        <v>1303.93</v>
      </c>
      <c r="J117" s="77">
        <v>4</v>
      </c>
      <c r="K117" s="92"/>
    </row>
    <row r="118" spans="1:11" ht="22.5" x14ac:dyDescent="0.2">
      <c r="A118" s="14" t="s">
        <v>1854</v>
      </c>
      <c r="B118" s="14" t="s">
        <v>1862</v>
      </c>
      <c r="C118" s="14" t="s">
        <v>1863</v>
      </c>
      <c r="D118" s="16">
        <v>46098</v>
      </c>
      <c r="E118" s="16"/>
      <c r="F118" s="14" t="s">
        <v>1898</v>
      </c>
      <c r="G118" s="14" t="s">
        <v>1860</v>
      </c>
      <c r="H118" s="14" t="s">
        <v>1861</v>
      </c>
      <c r="I118" s="15">
        <v>391.55</v>
      </c>
      <c r="J118" s="77">
        <v>4</v>
      </c>
      <c r="K118" s="92"/>
    </row>
    <row r="119" spans="1:11" ht="12.75" x14ac:dyDescent="0.2">
      <c r="A119" s="14" t="s">
        <v>1854</v>
      </c>
      <c r="B119" s="14" t="s">
        <v>1899</v>
      </c>
      <c r="C119" s="14" t="s">
        <v>1900</v>
      </c>
      <c r="D119" s="16">
        <v>46043</v>
      </c>
      <c r="E119" s="16"/>
      <c r="F119" s="14" t="s">
        <v>1901</v>
      </c>
      <c r="G119" s="14" t="s">
        <v>1902</v>
      </c>
      <c r="H119" s="14" t="s">
        <v>1903</v>
      </c>
      <c r="I119" s="15">
        <v>58.2</v>
      </c>
      <c r="J119" s="77">
        <v>4</v>
      </c>
      <c r="K119" s="92"/>
    </row>
    <row r="120" spans="1:11" ht="12.75" x14ac:dyDescent="0.2">
      <c r="A120" s="14" t="s">
        <v>1854</v>
      </c>
      <c r="B120" s="14" t="s">
        <v>1904</v>
      </c>
      <c r="C120" s="14" t="s">
        <v>1905</v>
      </c>
      <c r="D120" s="16">
        <v>46077</v>
      </c>
      <c r="E120" s="16"/>
      <c r="F120" s="14" t="s">
        <v>1906</v>
      </c>
      <c r="G120" s="14" t="s">
        <v>1902</v>
      </c>
      <c r="H120" s="14" t="s">
        <v>1903</v>
      </c>
      <c r="I120" s="15">
        <v>60.75</v>
      </c>
      <c r="J120" s="77">
        <v>4</v>
      </c>
      <c r="K120" s="92"/>
    </row>
    <row r="121" spans="1:11" ht="12.75" x14ac:dyDescent="0.2">
      <c r="A121" s="14" t="s">
        <v>1854</v>
      </c>
      <c r="B121" s="14" t="s">
        <v>1907</v>
      </c>
      <c r="C121" s="14" t="s">
        <v>1908</v>
      </c>
      <c r="D121" s="16">
        <v>46100</v>
      </c>
      <c r="E121" s="16"/>
      <c r="F121" s="14" t="s">
        <v>1909</v>
      </c>
      <c r="G121" s="14" t="s">
        <v>1902</v>
      </c>
      <c r="H121" s="14" t="s">
        <v>1903</v>
      </c>
      <c r="I121" s="15">
        <v>25.65</v>
      </c>
      <c r="J121" s="77">
        <v>4</v>
      </c>
      <c r="K121" s="92"/>
    </row>
    <row r="122" spans="1:11" ht="12.75" x14ac:dyDescent="0.2">
      <c r="A122" s="14" t="s">
        <v>1854</v>
      </c>
      <c r="B122" s="14" t="s">
        <v>1910</v>
      </c>
      <c r="C122" s="14" t="s">
        <v>1911</v>
      </c>
      <c r="D122" s="16" t="s">
        <v>1912</v>
      </c>
      <c r="E122" s="16"/>
      <c r="F122" s="14" t="s">
        <v>1913</v>
      </c>
      <c r="G122" s="14" t="s">
        <v>1914</v>
      </c>
      <c r="H122" s="14" t="s">
        <v>1915</v>
      </c>
      <c r="I122" s="15">
        <v>34.200000000000003</v>
      </c>
      <c r="J122" s="77">
        <v>4</v>
      </c>
      <c r="K122" s="92"/>
    </row>
    <row r="123" spans="1:11" ht="33.75" x14ac:dyDescent="0.2">
      <c r="A123" s="14" t="s">
        <v>1854</v>
      </c>
      <c r="B123" s="14" t="s">
        <v>1916</v>
      </c>
      <c r="C123" s="14" t="s">
        <v>1917</v>
      </c>
      <c r="D123" s="16">
        <v>46120</v>
      </c>
      <c r="E123" s="16"/>
      <c r="F123" s="14" t="s">
        <v>1918</v>
      </c>
      <c r="G123" s="14" t="s">
        <v>1919</v>
      </c>
      <c r="H123" s="14" t="s">
        <v>1920</v>
      </c>
      <c r="I123" s="15">
        <v>49.57</v>
      </c>
      <c r="J123" s="77">
        <v>3</v>
      </c>
      <c r="K123" s="92"/>
    </row>
    <row r="124" spans="1:11" ht="33.75" x14ac:dyDescent="0.2">
      <c r="A124" s="14" t="s">
        <v>1854</v>
      </c>
      <c r="B124" s="14" t="s">
        <v>1921</v>
      </c>
      <c r="C124" s="14" t="s">
        <v>1922</v>
      </c>
      <c r="D124" s="16">
        <v>46120</v>
      </c>
      <c r="E124" s="16"/>
      <c r="F124" s="14" t="s">
        <v>1918</v>
      </c>
      <c r="G124" s="14" t="s">
        <v>1919</v>
      </c>
      <c r="H124" s="14" t="s">
        <v>1920</v>
      </c>
      <c r="I124" s="15">
        <v>163.9</v>
      </c>
      <c r="J124" s="77">
        <v>3</v>
      </c>
      <c r="K124" s="92"/>
    </row>
    <row r="125" spans="1:11" ht="33.75" x14ac:dyDescent="0.2">
      <c r="A125" s="14" t="s">
        <v>1854</v>
      </c>
      <c r="B125" s="14" t="s">
        <v>1923</v>
      </c>
      <c r="C125" s="14" t="s">
        <v>1924</v>
      </c>
      <c r="D125" s="16">
        <v>46120</v>
      </c>
      <c r="E125" s="16"/>
      <c r="F125" s="14" t="s">
        <v>1918</v>
      </c>
      <c r="G125" s="14" t="s">
        <v>1919</v>
      </c>
      <c r="H125" s="14" t="s">
        <v>1920</v>
      </c>
      <c r="I125" s="15">
        <v>103.14</v>
      </c>
      <c r="J125" s="77">
        <v>3</v>
      </c>
      <c r="K125" s="92"/>
    </row>
    <row r="126" spans="1:11" ht="22.5" x14ac:dyDescent="0.2">
      <c r="A126" s="14" t="s">
        <v>1854</v>
      </c>
      <c r="B126" s="14" t="s">
        <v>1925</v>
      </c>
      <c r="C126" s="14" t="s">
        <v>1926</v>
      </c>
      <c r="D126" s="16">
        <v>46122</v>
      </c>
      <c r="E126" s="16"/>
      <c r="F126" s="14" t="s">
        <v>1927</v>
      </c>
      <c r="G126" s="14" t="s">
        <v>1928</v>
      </c>
      <c r="H126" s="14" t="s">
        <v>1929</v>
      </c>
      <c r="I126" s="15">
        <v>1230</v>
      </c>
      <c r="J126" s="77">
        <v>4</v>
      </c>
      <c r="K126" s="92"/>
    </row>
    <row r="127" spans="1:11" ht="33.75" x14ac:dyDescent="0.2">
      <c r="A127" s="14" t="s">
        <v>1854</v>
      </c>
      <c r="B127" s="14" t="s">
        <v>1930</v>
      </c>
      <c r="C127" s="14" t="s">
        <v>1855</v>
      </c>
      <c r="D127" s="16">
        <v>46122</v>
      </c>
      <c r="E127" s="16"/>
      <c r="F127" s="14" t="s">
        <v>1933</v>
      </c>
      <c r="G127" s="14" t="s">
        <v>1931</v>
      </c>
      <c r="H127" s="14" t="s">
        <v>1932</v>
      </c>
      <c r="I127" s="15">
        <v>200</v>
      </c>
      <c r="J127" s="77">
        <v>3</v>
      </c>
      <c r="K127" s="92"/>
    </row>
    <row r="128" spans="1:11" ht="22.5" x14ac:dyDescent="0.2">
      <c r="A128" s="14" t="s">
        <v>1854</v>
      </c>
      <c r="B128" s="14" t="s">
        <v>1934</v>
      </c>
      <c r="C128" s="14" t="s">
        <v>1935</v>
      </c>
      <c r="D128" s="16">
        <v>46122</v>
      </c>
      <c r="E128" s="16"/>
      <c r="F128" s="14" t="s">
        <v>1936</v>
      </c>
      <c r="G128" s="14" t="s">
        <v>1937</v>
      </c>
      <c r="H128" s="14" t="s">
        <v>1938</v>
      </c>
      <c r="I128" s="15">
        <v>477.9</v>
      </c>
      <c r="J128" s="77">
        <v>4</v>
      </c>
      <c r="K128" s="92"/>
    </row>
    <row r="129" spans="1:11" ht="22.5" x14ac:dyDescent="0.2">
      <c r="A129" s="14" t="s">
        <v>1854</v>
      </c>
      <c r="B129" s="14" t="s">
        <v>1939</v>
      </c>
      <c r="C129" s="14" t="s">
        <v>1940</v>
      </c>
      <c r="D129" s="16">
        <v>46134</v>
      </c>
      <c r="E129" s="16"/>
      <c r="F129" s="14" t="s">
        <v>1941</v>
      </c>
      <c r="G129" s="14" t="s">
        <v>1860</v>
      </c>
      <c r="H129" s="14" t="s">
        <v>1861</v>
      </c>
      <c r="I129" s="15">
        <v>160.25</v>
      </c>
      <c r="J129" s="77">
        <v>4</v>
      </c>
      <c r="K129" s="92"/>
    </row>
    <row r="130" spans="1:11" ht="33.75" x14ac:dyDescent="0.2">
      <c r="A130" s="14" t="s">
        <v>1854</v>
      </c>
      <c r="B130" s="14" t="s">
        <v>1942</v>
      </c>
      <c r="C130" s="14" t="s">
        <v>1943</v>
      </c>
      <c r="D130" s="16">
        <v>46136</v>
      </c>
      <c r="E130" s="16"/>
      <c r="F130" s="14" t="s">
        <v>1944</v>
      </c>
      <c r="G130" s="14" t="s">
        <v>1945</v>
      </c>
      <c r="H130" s="14" t="s">
        <v>1946</v>
      </c>
      <c r="I130" s="15">
        <v>500</v>
      </c>
      <c r="J130" s="77">
        <v>3</v>
      </c>
      <c r="K130" s="92"/>
    </row>
    <row r="131" spans="1:11" ht="22.5" x14ac:dyDescent="0.2">
      <c r="A131" s="14" t="s">
        <v>1854</v>
      </c>
      <c r="B131" s="14" t="s">
        <v>1947</v>
      </c>
      <c r="C131" s="14" t="s">
        <v>1948</v>
      </c>
      <c r="D131" s="16">
        <v>46136</v>
      </c>
      <c r="E131" s="16"/>
      <c r="F131" s="14" t="s">
        <v>1949</v>
      </c>
      <c r="G131" s="14" t="s">
        <v>1860</v>
      </c>
      <c r="H131" s="14" t="s">
        <v>1861</v>
      </c>
      <c r="I131" s="15">
        <v>123</v>
      </c>
      <c r="J131" s="77">
        <v>4</v>
      </c>
      <c r="K131" s="92"/>
    </row>
    <row r="132" spans="1:11" ht="33.75" x14ac:dyDescent="0.2">
      <c r="A132" s="14" t="s">
        <v>1854</v>
      </c>
      <c r="B132" s="14" t="s">
        <v>1950</v>
      </c>
      <c r="C132" s="14" t="s">
        <v>1951</v>
      </c>
      <c r="D132" s="16">
        <v>46141</v>
      </c>
      <c r="E132" s="16"/>
      <c r="F132" s="14" t="s">
        <v>1952</v>
      </c>
      <c r="G132" s="14" t="s">
        <v>1953</v>
      </c>
      <c r="H132" s="14" t="s">
        <v>1954</v>
      </c>
      <c r="I132" s="15">
        <v>300</v>
      </c>
      <c r="J132" s="77">
        <v>3</v>
      </c>
      <c r="K132" s="92"/>
    </row>
    <row r="133" spans="1:11" ht="12.75" x14ac:dyDescent="0.2">
      <c r="A133" s="14" t="s">
        <v>1854</v>
      </c>
      <c r="B133" s="14" t="s">
        <v>1955</v>
      </c>
      <c r="C133" s="14" t="s">
        <v>1956</v>
      </c>
      <c r="D133" s="16">
        <v>46142</v>
      </c>
      <c r="E133" s="16"/>
      <c r="F133" s="14" t="s">
        <v>1856</v>
      </c>
      <c r="G133" s="14" t="s">
        <v>1857</v>
      </c>
      <c r="H133" s="14" t="s">
        <v>1858</v>
      </c>
      <c r="I133" s="15">
        <v>5</v>
      </c>
      <c r="J133" s="77">
        <v>4</v>
      </c>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JAZDECKÁ FEDERÁCIA, Olympijské námestie 14290/1, Bratislava, 831 04</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31787801</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Sekretariát</cp:lastModifiedBy>
  <cp:revision/>
  <cp:lastPrinted>2026-01-22T08:18:11Z</cp:lastPrinted>
  <dcterms:created xsi:type="dcterms:W3CDTF">2017-02-20T06:20:12Z</dcterms:created>
  <dcterms:modified xsi:type="dcterms:W3CDTF">2026-05-19T11:49:16Z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