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ekretariat\Desktop\MSSR\"/>
    </mc:Choice>
  </mc:AlternateContent>
  <xr:revisionPtr revIDLastSave="0" documentId="8_{E39F0ACD-0302-457C-B04B-9CCBA0C5A187}"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<sst xmlns="http://schemas.openxmlformats.org/spreadsheetml/2006/main" count="4144" uniqueCount="1910">
  <si>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</si>
  <si>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</si>
  <si>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</si>
  <si>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</si>
  <si>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</si>
  <si>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</si>
  <si>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</si>
  <si>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</si>
  <si>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</si>
  <si>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</si>
  <si>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</si>
  <si>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</si>
  <si>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</si>
  <si>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</si>
  <si>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</si>
  <si>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</si>
  <si>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</si>
  <si>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</si>
  <si>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</si>
  <si>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</si>
  <si>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</si>
  <si>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</si>
  <si>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</si>
  <si>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</si>
  <si>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</si>
  <si>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</si>
  <si>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</si>
  <si>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</si>
  <si>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</si>
  <si>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</si>
  <si>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</si>
  <si>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</si>
  <si>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</si>
  <si>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</si>
  <si>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</si>
  <si>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</si>
  <si>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</si>
  <si>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</si>
  <si>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</si>
  <si>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</si>
  <si>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</si>
  <si>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</si>
  <si>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</si>
  <si>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</si>
  <si>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</si>
  <si>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</si>
  <si>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</si>
  <si>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</si>
  <si>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</si>
  <si>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</si>
  <si>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</si>
  <si>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</si>
  <si>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</si>
  <si>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</si>
  <si>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</si>
  <si>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</si>
  <si>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</si>
  <si>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</si>
  <si>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</si>
  <si>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</si>
  <si>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</si>
  <si>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</si>
  <si>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</si>
  <si>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</si>
  <si>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</si>
  <si>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</si>
  <si>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</si>
  <si>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</si>
  <si>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</si>
  <si>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</si>
  <si>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</si>
  <si>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</si>
  <si>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</si>
  <si>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</si>
  <si>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</si>
  <si>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</si>
  <si>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</si>
  <si>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</si>
  <si>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</si>
  <si>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</si>
  <si>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</si>
  <si>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</si>
  <si>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</si>
  <si>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</si>
  <si>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</si>
  <si>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</si>
  <si>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</si>
  <si>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</si>
  <si>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</si>
  <si>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</si>
  <si>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</si>
  <si>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</si>
  <si>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</si>
  <si>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</si>
  <si>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</si>
  <si>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</si>
  <si>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</si>
  <si>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</si>
  <si>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</si>
  <si>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</si>
  <si>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</si>
  <si>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</si>
  <si>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</si>
  <si>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</si>
  <si>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</si>
  <si>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</si>
  <si>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</si>
  <si>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</si>
  <si>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</si>
  <si>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</si>
  <si>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</si>
  <si>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</si>
  <si>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</si>
  <si>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</si>
  <si>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</si>
  <si>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</si>
  <si>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</si>
  <si>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</si>
  <si>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</si>
  <si>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</si>
  <si>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</si>
  <si>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</si>
  <si>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</si>
  <si>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</si>
  <si>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</si>
  <si>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</si>
  <si>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</si>
  <si>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</si>
  <si>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</si>
  <si>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</si>
  <si>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</si>
  <si>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</si>
  <si>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</si>
  <si>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</si>
  <si>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</si>
  <si>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</si>
  <si>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</si>
  <si>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</si>
  <si>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</si>
  <si>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</si>
  <si>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</si>
  <si>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</si>
  <si>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</si>
  <si>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</si>
  <si>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</si>
  <si>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</si>
  <si>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</si>
  <si>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</si>
  <si>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</si>
  <si>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</si>
  <si>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</si>
  <si>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</si>
  <si>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</si>
  <si>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</si>
  <si>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</si>
  <si>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</si>
  <si>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</si>
  <si>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</si>
  <si>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</si>
  <si>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</si>
  <si>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</si>
  <si>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</si>
  <si>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</si>
  <si>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</si>
  <si>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</si>
  <si>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</si>
  <si>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</si>
  <si>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</si>
  <si>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</si>
  <si>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</si>
  <si>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</si>
  <si>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</si>
  <si>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</si>
  <si>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</si>
  <si>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</si>
  <si>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</si>
  <si>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</si>
  <si>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</si>
  <si>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</si>
  <si>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</si>
  <si>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</si>
  <si>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</si>
  <si>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</si>
  <si>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</si>
  <si>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</si>
  <si>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</si>
  <si>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</si>
  <si>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</si>
  <si>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</si>
  <si>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</si>
  <si>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</si>
  <si>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</si>
  <si>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</si>
  <si>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</si>
  <si>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</si>
  <si>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</si>
  <si>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</si>
  <si>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</si>
  <si>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</si>
  <si>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</si>
  <si>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</si>
  <si>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</si>
  <si>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</si>
  <si>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</si>
  <si>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</si>
  <si>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</si>
  <si>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</si>
  <si>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</si>
  <si>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</si>
  <si>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</si>
  <si>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</si>
  <si>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</si>
  <si>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</si>
  <si>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</si>
  <si>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</si>
  <si>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</si>
  <si>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</si>
  <si>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</si>
  <si>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</si>
  <si>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</si>
  <si>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</si>
  <si>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</si>
  <si>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</si>
  <si>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</si>
  <si>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</si>
  <si>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</si>
  <si>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</si>
  <si>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</si>
  <si>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</si>
  <si>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</si>
  <si>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</si>
  <si>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</si>
  <si>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</si>
  <si>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</si>
  <si>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</si>
  <si>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</si>
  <si>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</si>
  <si>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</si>
  <si>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</si>
  <si>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</si>
  <si>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</si>
  <si>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</si>
  <si>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</si>
  <si>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</si>
  <si>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</si>
  <si>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</si>
  <si>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</si>
  <si>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</si>
  <si>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</si>
  <si>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</si>
  <si>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</si>
  <si>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</si>
  <si>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</si>
  <si>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</si>
  <si>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</si>
  <si>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</si>
  <si>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</si>
  <si>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</si>
  <si>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</si>
  <si>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</si>
  <si>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</si>
  <si>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</si>
  <si>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</si>
  <si>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</si>
  <si>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</si>
  <si>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</si>
  <si>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</si>
  <si>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</si>
  <si>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</si>
  <si>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</si>
  <si>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</si>
  <si>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</si>
  <si>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</si>
  <si>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</si>
  <si>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</si>
  <si>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</si>
  <si>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</si>
  <si>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</si>
  <si>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</si>
  <si>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</si>
  <si>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</si>
  <si>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</si>
  <si>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</si>
  <si>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</si>
  <si>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</si>
  <si>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</si>
  <si>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</si>
  <si>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</si>
  <si>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</si>
  <si>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</si>
  <si>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</si>
  <si>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</si>
  <si>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</si>
  <si>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</si>
  <si>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</si>
  <si>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</si>
  <si>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</si>
  <si>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</si>
  <si>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</si>
  <si>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</si>
  <si>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</si>
  <si>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</si>
  <si>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</si>
  <si>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</si>
  <si>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</si>
  <si>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</si>
  <si>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</si>
  <si>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</si>
  <si>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</si>
  <si>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</si>
  <si>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</si>
  <si>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</si>
  <si>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</si>
  <si>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</si>
  <si>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</si>
  <si>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</si>
  <si>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</si>
  <si>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</si>
  <si>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</si>
  <si>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</si>
  <si>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</si>
  <si>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</si>
  <si>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</si>
  <si>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</si>
  <si>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</si>
  <si>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</si>
  <si>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</si>
  <si>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</si>
  <si>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</si>
  <si>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</si>
  <si>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</si>
  <si>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</si>
  <si>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</si>
  <si>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</si>
  <si>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</si>
  <si>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</si>
  <si>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</si>
  <si>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</si>
  <si>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</si>
  <si>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</si>
  <si>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</si>
  <si>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</si>
  <si>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</si>
  <si>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</si>
  <si>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</si>
  <si>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</si>
  <si>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</si>
  <si>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</si>
  <si>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</si>
  <si>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</si>
  <si>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</si>
  <si>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</si>
  <si>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</si>
  <si>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</si>
  <si>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</si>
  <si>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</si>
  <si>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</si>
  <si>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</si>
  <si>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</si>
  <si>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</si>
  <si>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</si>
  <si>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</si>
  <si>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</si>
  <si>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</si>
  <si>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</si>
  <si>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</si>
  <si>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</si>
  <si>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</si>
  <si>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</si>
  <si>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</si>
  <si>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</si>
  <si>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</si>
  <si>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</si>
  <si>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</si>
  <si>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</si>
  <si>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</si>
  <si>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</si>
  <si>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</si>
  <si>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</si>
  <si>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</si>
  <si>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</si>
  <si>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</si>
  <si>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</si>
  <si>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</si>
  <si>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</si>
  <si>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</si>
  <si>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</si>
  <si>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</si>
  <si>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</si>
  <si>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</si>
  <si>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</si>
  <si>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</si>
  <si>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</si>
  <si>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</si>
  <si>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</si>
  <si>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</si>
  <si>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</si>
  <si>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</si>
  <si>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</si>
  <si>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</si>
  <si>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</si>
  <si>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</si>
  <si>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</si>
  <si>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</si>
  <si>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</si>
  <si>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</si>
  <si>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</si>
  <si>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</si>
  <si>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</si>
  <si>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</si>
  <si>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</si>
  <si>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</si>
  <si>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</si>
  <si>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</si>
  <si>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</si>
  <si>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</si>
  <si>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</si>
  <si>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</si>
  <si>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</si>
  <si>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</si>
  <si>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</si>
  <si>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</si>
  <si>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</si>
  <si>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</si>
  <si>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</si>
  <si>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</si>
  <si>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</si>
  <si>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</si>
  <si>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</si>
  <si>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</si>
  <si>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</si>
  <si>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</si>
  <si>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</si>
  <si>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</si>
  <si>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</si>
  <si>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</si>
  <si>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</si>
  <si>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</si>
  <si>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</si>
  <si>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</si>
  <si>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</si>
  <si>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</si>
  <si>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</si>
  <si>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</si>
  <si>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</si>
  <si>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</si>
  <si>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</si>
  <si>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</si>
  <si>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</si>
  <si>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</si>
  <si>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</si>
  <si>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</si>
  <si>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</si>
  <si>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</si>
  <si>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</si>
  <si>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</si>
  <si>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</si>
  <si>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</si>
  <si>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</si>
  <si>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</si>
  <si>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</si>
  <si>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</si>
  <si>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</si>
  <si>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</si>
  <si>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</si>
  <si>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</si>
  <si>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</si>
  <si>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</si>
  <si>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</si>
  <si>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</si>
  <si>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</si>
  <si>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</si>
  <si>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</si>
  <si>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</si>
  <si>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</si>
  <si>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</si>
  <si>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</si>
  <si>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</si>
  <si>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</si>
  <si>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</si>
  <si>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</si>
  <si>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</si>
  <si>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</si>
  <si>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</si>
  <si>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</si>
  <si>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</si>
  <si>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</si>
  <si>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</si>
  <si>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</si>
  <si>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</si>
  <si>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</si>
  <si>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</si>
  <si>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</si>
  <si>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</si>
  <si>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</si>
  <si>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</si>
  <si>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</si>
  <si>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</si>
  <si>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</si>
  <si>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</si>
  <si>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</si>
  <si>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</si>
  <si>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</si>
  <si>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</si>
  <si>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</si>
  <si>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</si>
  <si>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</si>
  <si>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</si>
  <si>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</si>
  <si>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</si>
  <si>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</si>
  <si>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</si>
  <si>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</si>
  <si>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</si>
  <si>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</si>
  <si>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</si>
  <si>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</si>
  <si>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</si>
  <si>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</si>
  <si>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</si>
  <si>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</si>
  <si>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</si>
  <si>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</si>
  <si>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</si>
  <si>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</si>
  <si>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</si>
  <si>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</si>
  <si>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</si>
  <si>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</si>
  <si>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</si>
  <si>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</si>
  <si>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</si>
  <si>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</si>
  <si>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</si>
  <si>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</si>
  <si>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</si>
  <si>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</si>
  <si>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</si>
  <si>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</si>
  <si>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</si>
  <si>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</si>
  <si>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</si>
  <si>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</si>
  <si>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</si>
  <si>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</si>
  <si>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</si>
  <si>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</si>
  <si>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</si>
  <si>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</si>
  <si>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</si>
  <si>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</si>
  <si>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</si>
  <si>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</si>
  <si>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</si>
  <si>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</si>
  <si>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</si>
  <si>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</si>
  <si>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</si>
  <si>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</si>
  <si>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</si>
  <si>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</si>
  <si>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</si>
  <si>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</si>
  <si>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</si>
  <si>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</si>
  <si>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</si>
  <si>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</si>
  <si>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</si>
  <si>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</si>
  <si>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</si>
  <si>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</si>
  <si>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</si>
  <si>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</si>
  <si>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</si>
  <si>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</si>
  <si>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</si>
  <si>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</si>
  <si>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</si>
  <si>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</si>
  <si>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</si>
  <si>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</si>
  <si>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</si>
  <si>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</si>
  <si>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</si>
  <si>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</si>
  <si>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</si>
  <si>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</si>
  <si>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</si>
  <si>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</si>
  <si>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</si>
  <si>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</si>
  <si>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</si>
  <si>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</si>
  <si>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</si>
  <si>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</si>
  <si>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</si>
  <si>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</si>
  <si>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</si>
  <si>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</si>
  <si>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</si>
  <si>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</si>
  <si>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</si>
  <si>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</si>
  <si>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</si>
  <si>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</si>
  <si>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</si>
  <si>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</si>
  <si>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</si>
  <si>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</si>
  <si>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</si>
  <si>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</si>
  <si>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</si>
  <si>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</si>
  <si>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</si>
  <si>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</si>
  <si>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</si>
  <si>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</si>
  <si>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</si>
  <si>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</si>
  <si>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</si>
  <si>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</si>
  <si>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</si>
  <si>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</si>
  <si>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</si>
  <si>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</si>
  <si>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</si>
  <si>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</si>
  <si>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</si>
  <si>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</si>
  <si>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</si>
  <si>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</si>
  <si>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</si>
  <si>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</si>
  <si>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</si>
  <si>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</si>
  <si>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</si>
  <si>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</si>
  <si>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</si>
  <si>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</si>
  <si>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</si>
  <si>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</si>
  <si>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</si>
  <si>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</si>
  <si>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</si>
  <si>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</si>
  <si>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</si>
  <si>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</si>
  <si>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</si>
  <si>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</si>
  <si>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</si>
  <si>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</si>
  <si>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</si>
  <si>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</si>
  <si>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</si>
  <si>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</si>
  <si>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</si>
  <si>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</si>
  <si>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</si>
  <si>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</si>
  <si>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</si>
  <si>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</si>
  <si>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</si>
  <si>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</si>
  <si>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</si>
  <si>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</si>
  <si>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</si>
  <si>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</si>
  <si>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</si>
  <si>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</si>
  <si>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</si>
  <si>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</si>
  <si>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</si>
  <si>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</si>
  <si>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</si>
  <si>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</si>
  <si>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</si>
  <si>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</si>
  <si>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</si>
  <si>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</si>
  <si>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</si>
  <si>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</si>
  <si>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</si>
  <si>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</si>
  <si>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</si>
  <si>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</si>
  <si>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</si>
  <si>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</si>
  <si>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</si>
  <si>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</si>
  <si>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</si>
  <si>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</si>
  <si>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</si>
  <si>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</si>
  <si>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</si>
  <si>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</si>
  <si>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</si>
  <si>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</si>
  <si>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</si>
  <si>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</si>
  <si>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</si>
  <si>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</si>
  <si>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</si>
  <si>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</si>
  <si>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</si>
  <si>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</si>
  <si>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</si>
  <si>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</si>
  <si>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</si>
  <si>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</si>
  <si>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</si>
  <si>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</si>
  <si>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</si>
  <si>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</si>
  <si>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</si>
  <si>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</si>
  <si>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</si>
  <si>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</si>
  <si>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</si>
  <si>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</si>
  <si>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</si>
  <si>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</si>
  <si>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</si>
  <si>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</si>
  <si>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</si>
  <si>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</si>
  <si>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</si>
  <si>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</si>
  <si>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</si>
  <si>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</si>
  <si>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</si>
  <si>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</si>
  <si>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</si>
  <si>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</si>
  <si>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</si>
  <si>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</si>
  <si>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</si>
  <si>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</si>
  <si>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</si>
  <si>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</si>
  <si>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</si>
  <si>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</si>
  <si>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</si>
  <si>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</si>
  <si>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</si>
  <si>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</si>
  <si>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</si>
  <si>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</si>
  <si>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</si>
  <si>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</si>
  <si>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</si>
  <si>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</si>
  <si>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</si>
  <si>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</si>
  <si>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</si>
  <si>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</si>
  <si>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</si>
  <si>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</si>
  <si>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</si>
  <si>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</si>
  <si>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</si>
  <si>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</si>
  <si>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</si>
  <si>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</si>
  <si>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</si>
  <si>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</si>
  <si>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</si>
  <si>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</si>
  <si>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</si>
  <si>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</si>
  <si>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</si>
  <si>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</si>
  <si>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</si>
  <si>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</si>
  <si>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</si>
  <si>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</si>
  <si>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</si>
  <si>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</si>
  <si>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</si>
  <si>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</si>
  <si>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</si>
  <si>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</si>
  <si>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</si>
  <si>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</si>
  <si>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</si>
  <si>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</si>
  <si>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</si>
  <si>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</si>
  <si>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</si>
  <si>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</si>
  <si>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</si>
  <si>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</si>
  <si>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</si>
  <si>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</si>
  <si>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</si>
  <si>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</si>
  <si>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</si>
  <si>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</si>
  <si>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</si>
  <si>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</si>
  <si>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</si>
  <si>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</si>
  <si>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</si>
  <si>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</si>
  <si>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</si>
  <si>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</si>
  <si>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</si>
  <si>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</si>
  <si>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</si>
  <si>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</si>
  <si>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</si>
  <si>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</si>
  <si>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</si>
  <si>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</si>
  <si>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</si>
  <si>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</si>
  <si>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</si>
  <si>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</si>
  <si>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</si>
  <si>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</si>
  <si>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</si>
  <si>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</si>
  <si>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</si>
  <si>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</si>
  <si>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</si>
  <si>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</si>
  <si>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</si>
  <si>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</si>
  <si>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</si>
  <si>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</si>
  <si>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</si>
  <si>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</si>
  <si>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</si>
  <si>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</si>
  <si>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</si>
  <si>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</si>
  <si>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</si>
  <si>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</si>
  <si>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</si>
  <si>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</si>
  <si>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</si>
  <si>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</si>
  <si>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</si>
  <si>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</si>
  <si>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</si>
  <si>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</si>
  <si>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</si>
  <si>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</si>
  <si>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</si>
  <si>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</si>
  <si>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</si>
  <si>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</si>
  <si>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</si>
  <si>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</si>
  <si>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</si>
  <si>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</si>
  <si>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</si>
  <si>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</si>
  <si>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</si>
  <si>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</si>
  <si>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</si>
  <si>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</si>
  <si>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</si>
  <si>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</si>
  <si>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</si>
  <si>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</si>
  <si>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</si>
  <si>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</si>
  <si>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</si>
  <si>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</si>
  <si>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</si>
  <si>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</si>
  <si>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</si>
  <si>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</si>
  <si>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</si>
  <si>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</si>
  <si>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</si>
  <si>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</si>
  <si>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</si>
  <si>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</si>
  <si>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</si>
  <si>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</si>
  <si>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</si>
  <si>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</si>
  <si>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</si>
  <si>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</si>
  <si>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</si>
  <si>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</si>
  <si>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</si>
  <si>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</si>
  <si>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</si>
  <si>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</si>
  <si>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</si>
  <si>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</si>
  <si>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</si>
  <si>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</si>
  <si>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</si>
  <si>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</si>
  <si>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</si>
  <si>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</si>
  <si>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</si>
  <si>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</si>
  <si>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</si>
  <si>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</si>
  <si>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</si>
  <si>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</si>
  <si>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</si>
  <si>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</si>
  <si>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</si>
  <si>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</si>
  <si>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</si>
  <si>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</si>
  <si>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</si>
  <si>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</si>
  <si>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</si>
  <si>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</si>
  <si>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</si>
  <si>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</si>
  <si>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</si>
  <si>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</si>
  <si>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</si>
  <si>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</si>
  <si>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</si>
  <si>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</si>
  <si>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</si>
  <si>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</si>
  <si>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</si>
  <si>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</si>
  <si>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</si>
  <si>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</si>
  <si>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</si>
  <si>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</si>
  <si>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</si>
  <si>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</si>
  <si>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</si>
  <si>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</si>
  <si>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</si>
  <si>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</si>
  <si>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</si>
  <si>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</si>
  <si>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</si>
  <si>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</si>
  <si>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</si>
  <si>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</si>
  <si>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</si>
  <si>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</si>
  <si>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</si>
  <si>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</si>
  <si>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</si>
  <si>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</si>
  <si>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</si>
  <si>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</si>
  <si>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</si>
  <si>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</si>
  <si>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</si>
  <si>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</si>
  <si>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</si>
  <si>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</si>
  <si>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</si>
  <si>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</si>
  <si>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</si>
  <si>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</si>
  <si>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</si>
  <si>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</si>
  <si>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</si>
  <si>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</si>
  <si>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</si>
  <si>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</si>
  <si>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</si>
  <si>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</si>
  <si>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</si>
  <si>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</si>
  <si>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</si>
  <si>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</si>
  <si>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</si>
  <si>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</si>
  <si>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</si>
  <si>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</si>
  <si>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</si>
  <si>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</si>
  <si>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</si>
  <si>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</si>
  <si>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</si>
  <si>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</si>
  <si>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</si>
  <si>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</si>
  <si>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</si>
  <si>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</si>
  <si>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</si>
  <si>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</si>
  <si>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</si>
  <si>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</si>
  <si>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</si>
  <si>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</si>
  <si>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</si>
  <si>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</si>
  <si>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</si>
  <si>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</si>
  <si>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</si>
  <si>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</si>
  <si>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</si>
  <si>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</si>
  <si>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</si>
  <si>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</si>
  <si>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</si>
  <si>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</si>
  <si>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</si>
  <si>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</si>
  <si>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</si>
  <si>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</si>
  <si>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</si>
  <si>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</si>
  <si>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</si>
  <si>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</si>
  <si>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</si>
  <si>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</si>
  <si>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</si>
  <si>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</si>
  <si>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</si>
  <si>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</si>
  <si>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</si>
  <si>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</si>
  <si>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</si>
  <si>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</si>
  <si>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</si>
  <si>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</si>
  <si>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</si>
  <si>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</si>
  <si>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</si>
  <si>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</si>
  <si>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</si>
  <si>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</si>
  <si>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</si>
  <si>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</si>
  <si>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</si>
  <si>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</si>
  <si>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</si>
  <si>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</si>
  <si>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</si>
  <si>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</si>
  <si>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</si>
  <si>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</si>
  <si>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</si>
  <si>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</si>
  <si>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</si>
  <si>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</si>
  <si>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</si>
  <si>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</si>
  <si>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</si>
  <si>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</si>
  <si>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</si>
  <si>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</si>
  <si>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</si>
  <si>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</si>
  <si>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</si>
  <si>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</si>
  <si>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</si>
  <si>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</si>
  <si>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</si>
  <si>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</si>
  <si>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</si>
  <si>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</si>
  <si>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</si>
  <si>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</si>
  <si>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</si>
  <si>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</si>
  <si>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</si>
  <si>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</si>
  <si>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</si>
  <si>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</si>
  <si>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</si>
  <si>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</si>
  <si>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</si>
  <si>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</si>
  <si>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</si>
  <si>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</si>
  <si>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</si>
  <si>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</si>
  <si>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</si>
  <si>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</si>
  <si>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</si>
  <si>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</si>
  <si>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</si>
  <si>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</si>
  <si>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</si>
  <si>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</si>
  <si>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</si>
  <si>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</si>
  <si>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</si>
  <si>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</si>
  <si>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</si>
  <si>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</si>
  <si>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</si>
  <si>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</si>
  <si>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</si>
  <si>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</si>
  <si>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</si>
  <si>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</si>
  <si>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</si>
  <si>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</si>
  <si>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</si>
  <si>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</si>
  <si>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</si>
  <si>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</si>
  <si>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</si>
  <si>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</si>
  <si>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</si>
  <si>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</si>
  <si>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</si>
  <si>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</si>
  <si>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</si>
  <si>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</si>
  <si>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</si>
  <si>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</si>
  <si>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</si>
  <si>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</si>
  <si>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</si>
  <si>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</si>
  <si>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</si>
  <si>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</si>
  <si>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</si>
  <si>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</si>
  <si>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</si>
  <si>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</si>
  <si>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</si>
  <si>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</si>
  <si>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</si>
  <si>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</si>
  <si>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</si>
  <si>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</si>
  <si>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</si>
  <si>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</si>
  <si>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</si>
  <si>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</si>
  <si>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</si>
  <si>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</si>
  <si>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</si>
  <si>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</si>
  <si>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</si>
  <si>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</si>
  <si>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</si>
  <si>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</si>
  <si>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</si>
  <si>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</si>
  <si>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</si>
  <si>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</si>
  <si>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</si>
  <si>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</si>
  <si>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</si>
  <si>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</si>
  <si>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</si>
  <si>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</si>
  <si>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</si>
  <si>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</si>
  <si>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</si>
  <si>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</si>
  <si>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</si>
  <si>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</si>
  <si>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</si>
  <si>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</si>
  <si>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</si>
  <si>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</si>
  <si>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</si>
  <si>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</si>
  <si>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</si>
  <si>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</si>
  <si>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</si>
  <si>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</si>
  <si>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</si>
  <si>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</si>
  <si>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</si>
  <si>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</si>
  <si>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</si>
  <si>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</si>
  <si>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</si>
  <si>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</si>
  <si>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</si>
  <si>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</si>
  <si>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</si>
  <si>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</si>
  <si>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</si>
  <si>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</si>
  <si>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</si>
  <si>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</si>
  <si>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</si>
  <si>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</si>
  <si>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</si>
  <si>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</si>
  <si>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</si>
  <si>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</si>
  <si>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</si>
  <si>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</si>
  <si>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</si>
  <si>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</si>
  <si>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</si>
  <si>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</si>
  <si>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</si>
  <si>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</si>
  <si>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</si>
  <si>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</si>
  <si>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</si>
  <si>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</si>
  <si>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</si>
  <si>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</si>
  <si>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</si>
  <si>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</si>
  <si>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</si>
  <si>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</si>
  <si>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</si>
  <si>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</si>
  <si>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</si>
  <si>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</si>
  <si>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</si>
  <si>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</si>
  <si>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</si>
  <si>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</si>
  <si>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</si>
  <si>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</si>
  <si>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</si>
  <si>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</si>
  <si>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</si>
  <si>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</si>
  <si>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</si>
  <si>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</si>
  <si>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</si>
  <si>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</si>
  <si>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</si>
  <si>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</si>
  <si>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</si>
  <si>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</si>
  <si>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</si>
  <si>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</si>
  <si>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</si>
  <si>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</si>
  <si>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</si>
  <si>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</si>
  <si>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</si>
  <si>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</si>
  <si>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</si>
  <si>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</si>
  <si>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</si>
  <si>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</si>
  <si>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</si>
  <si>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</si>
  <si>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</si>
  <si>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</si>
  <si>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</si>
  <si>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</si>
  <si>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</si>
  <si>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</si>
  <si>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</si>
  <si>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</si>
  <si>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</si>
  <si>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</si>
  <si>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</si>
  <si>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</si>
  <si>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</si>
  <si>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</si>
  <si>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</si>
  <si>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</si>
  <si>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</si>
  <si>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</si>
  <si>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</si>
  <si>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</si>
  <si>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</si>
  <si>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</si>
  <si>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</si>
  <si>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</si>
  <si>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</si>
  <si>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</si>
  <si>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</si>
  <si>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</si>
  <si>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</si>
  <si>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</si>
  <si>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</si>
  <si>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</si>
  <si>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</si>
  <si>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</si>
  <si>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</si>
  <si>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</si>
  <si>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</si>
  <si>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</si>
  <si>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</si>
  <si>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</si>
  <si>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</si>
  <si>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</si>
  <si>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</si>
  <si>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</si>
  <si>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</si>
  <si>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</si>
  <si>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</si>
  <si>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</si>
  <si>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</si>
  <si>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</si>
  <si>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</si>
  <si>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</si>
  <si>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</si>
  <si>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</si>
  <si>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</si>
  <si>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</si>
  <si>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</si>
  <si>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</si>
  <si>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</si>
  <si>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</si>
  <si>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</si>
  <si>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</si>
  <si>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</si>
  <si>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</si>
  <si>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</si>
  <si>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</si>
  <si>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</si>
  <si>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</si>
  <si>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</si>
  <si>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</si>
  <si>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</si>
  <si>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</si>
  <si>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</si>
  <si>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</si>
  <si>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</si>
  <si>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</si>
  <si>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</si>
  <si>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</si>
  <si>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</si>
  <si>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</si>
  <si>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</si>
  <si>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</si>
  <si>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</si>
  <si>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</si>
  <si>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</si>
  <si>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</si>
  <si>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</si>
  <si>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</si>
  <si>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</si>
  <si>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</si>
  <si>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</si>
  <si>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</si>
  <si>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</si>
  <si>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</si>
  <si>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</si>
  <si>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</si>
  <si>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</si>
  <si>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</si>
  <si>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</si>
  <si>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</si>
  <si>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</si>
  <si>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</si>
  <si>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</si>
  <si>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</si>
  <si>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</si>
  <si>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</si>
  <si>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</si>
  <si>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</si>
  <si>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</si>
  <si>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</si>
  <si>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</si>
  <si>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</si>
  <si>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</si>
  <si>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</si>
  <si>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</si>
  <si>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</si>
  <si>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</si>
  <si>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</si>
  <si>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</si>
  <si>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</si>
  <si>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</si>
  <si>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</si>
  <si>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</si>
  <si>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</si>
  <si>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</si>
  <si>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</si>
  <si>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</si>
  <si>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</si>
  <si>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</si>
  <si>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</si>
  <si>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</si>
  <si>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</si>
  <si>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</si>
  <si>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</si>
  <si>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</si>
  <si>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</si>
  <si>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</si>
  <si>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</si>
  <si>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</si>
  <si>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</si>
  <si>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</si>
  <si>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</si>
  <si>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</si>
  <si>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</si>
  <si>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</si>
  <si>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</si>
  <si>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</si>
  <si>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</si>
  <si>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</si>
  <si>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</si>
  <si>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</si>
  <si>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</si>
  <si>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</si>
  <si>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</si>
  <si>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</si>
  <si>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</si>
  <si>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</si>
  <si>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</si>
  <si>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</si>
  <si>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</si>
  <si>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</si>
  <si>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</si>
  <si>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</si>
  <si>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</si>
  <si>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</si>
  <si>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</si>
  <si>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</si>
  <si>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</si>
  <si>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</si>
  <si>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</si>
  <si>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</si>
  <si>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</si>
  <si>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</si>
  <si>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</si>
  <si>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</si>
  <si>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</si>
  <si>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</si>
  <si>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</si>
  <si>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</si>
  <si>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</si>
  <si>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</si>
  <si>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</si>
  <si>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</si>
  <si>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</si>
  <si>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</si>
  <si>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</si>
  <si>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</si>
  <si>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</si>
  <si>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</si>
  <si>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</si>
  <si>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</si>
  <si>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</si>
  <si>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</si>
  <si>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</si>
  <si>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</si>
  <si>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</si>
  <si>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</si>
  <si>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</si>
  <si>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</si>
  <si>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</si>
  <si>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</si>
  <si>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</si>
  <si>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</si>
  <si>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</si>
  <si>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</si>
  <si>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</si>
  <si>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</si>
  <si>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</si>
  <si>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</si>
  <si>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</si>
  <si>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</si>
  <si>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</si>
  <si>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</si>
  <si>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</si>
  <si>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</si>
  <si>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</si>
  <si>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</si>
  <si>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</si>
  <si>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</si>
  <si>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</si>
  <si>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</si>
  <si>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</si>
  <si>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</si>
  <si>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</si>
  <si>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</si>
  <si>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</si>
  <si>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</si>
  <si>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</si>
  <si>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</si>
  <si>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</si>
  <si>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</si>
  <si>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</si>
  <si>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</si>
  <si>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</si>
  <si>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</si>
  <si>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</si>
  <si>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</si>
  <si>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</si>
  <si>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</si>
  <si>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</si>
  <si>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</si>
  <si>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</si>
  <si>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</si>
  <si>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</si>
  <si>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</si>
  <si>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</si>
  <si>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</si>
  <si>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</si>
  <si>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</si>
  <si>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</si>
  <si>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</si>
  <si>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</si>
  <si>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</si>
  <si>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</si>
  <si>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</si>
  <si>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</si>
  <si>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</si>
  <si>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</si>
  <si>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</si>
  <si>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</si>
  <si>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</si>
  <si>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</si>
  <si>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</si>
  <si>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</si>
  <si>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</si>
  <si>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</si>
  <si>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</si>
  <si>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</si>
  <si>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</si>
  <si>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</si>
  <si>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</si>
  <si>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</si>
  <si>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</si>
  <si>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</si>
  <si>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</si>
  <si>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</si>
  <si>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</si>
  <si>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</si>
  <si>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</si>
  <si>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</si>
  <si>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</si>
  <si>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</si>
  <si>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</si>
  <si>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</si>
  <si>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</si>
  <si>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</si>
  <si>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</si>
  <si>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</si>
  <si>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</si>
  <si>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</si>
  <si>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</si>
  <si>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</si>
  <si>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</si>
  <si>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</si>
  <si>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</si>
  <si>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</si>
  <si>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</si>
  <si>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</si>
  <si>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</si>
  <si>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</si>
  <si>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</si>
  <si>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</si>
  <si>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</si>
  <si>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</si>
  <si>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</si>
  <si>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</si>
  <si>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</si>
  <si>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</si>
  <si>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</si>
  <si>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</si>
  <si>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</si>
  <si>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</si>
  <si>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</si>
  <si>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</si>
  <si>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</si>
  <si>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</si>
  <si>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</si>
  <si>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</si>
  <si>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</si>
  <si>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</si>
  <si>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</si>
  <si>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</si>
  <si>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</si>
  <si>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</si>
  <si>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</si>
  <si>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</si>
  <si>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</si>
  <si>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</si>
  <si>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</si>
  <si>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</si>
  <si>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</si>
  <si>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</si>
  <si>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</si>
  <si>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</si>
  <si>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</si>
  <si>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</si>
  <si>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</si>
  <si>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</si>
  <si>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</si>
  <si>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</si>
  <si>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</si>
  <si>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</si>
  <si>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</si>
  <si>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</si>
  <si>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</si>
  <si>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</si>
  <si>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</si>
  <si>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</si>
  <si>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</si>
  <si>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</si>
  <si>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</si>
  <si>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</si>
  <si>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</si>
  <si>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</si>
  <si>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</si>
  <si>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</si>
  <si>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</si>
  <si>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</si>
  <si>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</si>
  <si>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</si>
  <si>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</si>
  <si>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</si>
  <si>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</si>
  <si>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</si>
  <si>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</si>
  <si>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</si>
  <si>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</si>
  <si>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</si>
  <si>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</si>
  <si>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</si>
  <si>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</si>
  <si>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</si>
  <si>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</si>
  <si>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</si>
  <si>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</si>
  <si>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</si>
  <si>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</si>
  <si>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</si>
  <si>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</si>
  <si>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</si>
  <si>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</si>
  <si>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</si>
  <si>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</si>
  <si>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</si>
  <si>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</si>
  <si>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</si>
  <si>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</si>
  <si>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</si>
  <si>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</si>
  <si>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</si>
  <si>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</si>
  <si>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</si>
  <si>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</si>
  <si>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</si>
  <si>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</si>
  <si>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</si>
  <si>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</si>
  <si>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</si>
  <si>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</si>
  <si>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</si>
  <si>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</si>
  <si>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</si>
  <si>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</si>
  <si>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</si>
  <si>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</si>
  <si>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</si>
  <si>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</si>
  <si>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</si>
  <si>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</si>
  <si>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</si>
  <si>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</si>
  <si>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</si>
  <si>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</si>
  <si>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</si>
  <si>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</si>
  <si>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</si>
  <si>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</si>
  <si>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</si>
  <si>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</si>
  <si>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</si>
  <si>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</si>
  <si>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</si>
  <si>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</si>
  <si>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</si>
  <si>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</si>
  <si>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</si>
  <si>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</si>
  <si>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</si>
  <si>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</si>
  <si>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</si>
  <si>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</si>
  <si>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</si>
  <si>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</si>
  <si>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</si>
  <si>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</si>
  <si>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</si>
  <si>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</si>
  <si>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</si>
  <si>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</si>
  <si>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</si>
  <si>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</si>
  <si>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</si>
  <si>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</si>
  <si>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</si>
  <si>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</si>
  <si>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</si>
  <si>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</si>
  <si>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</si>
  <si>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</si>
  <si>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</si>
  <si>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</si>
  <si>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</si>
  <si>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</si>
  <si>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</si>
  <si>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</si>
  <si>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</si>
  <si>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</si>
  <si>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</si>
  <si>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</si>
  <si>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</si>
  <si>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</si>
  <si>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</si>
  <si>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</si>
  <si>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</si>
  <si>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</si>
  <si>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</si>
  <si>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</si>
  <si>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</si>
  <si>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</si>
  <si>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</si>
  <si>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</si>
  <si>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</si>
  <si>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</si>
  <si>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</si>
  <si>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</si>
  <si>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</si>
  <si>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</si>
  <si>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</si>
  <si>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</si>
  <si>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</si>
  <si>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</si>
  <si>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</si>
  <si>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</si>
  <si>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</si>
  <si>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</si>
  <si>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</si>
  <si>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</si>
  <si>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</si>
  <si>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</si>
  <si>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</si>
  <si>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</si>
  <si>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</si>
  <si>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</si>
  <si>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</si>
  <si>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</si>
  <si>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</si>
  <si>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</si>
  <si>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</si>
  <si>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</si>
  <si>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</si>
  <si>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</si>
  <si>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</si>
  <si>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</si>
  <si>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</si>
  <si>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</si>
  <si>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</si>
  <si>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</si>
  <si>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</si>
  <si>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</si>
  <si>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</si>
  <si>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</si>
  <si>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</si>
  <si>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</si>
  <si>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</si>
  <si>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</si>
  <si>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</si>
  <si>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</si>
  <si>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</si>
  <si>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</si>
  <si>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</si>
  <si>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</si>
  <si>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</si>
  <si>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</si>
  <si>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</si>
  <si>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</si>
  <si>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</si>
  <si>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</si>
  <si>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</si>
  <si>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</si>
  <si>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</si>
  <si>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</si>
  <si>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</si>
  <si>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</si>
  <si>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</si>
  <si>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</si>
  <si>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</si>
  <si>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</si>
  <si>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</si>
  <si>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</si>
  <si>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</si>
  <si>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</si>
  <si>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</si>
  <si>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</si>
  <si>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</si>
  <si>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</si>
  <si>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</si>
  <si>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</si>
  <si>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</si>
  <si>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</si>
  <si>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</si>
  <si>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</si>
  <si>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</si>
  <si>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</si>
  <si>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</si>
  <si>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</si>
  <si>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</si>
  <si>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</si>
  <si>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</si>
  <si>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</si>
  <si>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</si>
  <si>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</si>
  <si>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</si>
  <si>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</si>
  <si>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</si>
  <si>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</si>
  <si>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</si>
  <si>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</si>
  <si>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</si>
  <si>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</si>
  <si>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</si>
  <si>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</si>
  <si>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</si>
  <si>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</si>
  <si>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</si>
  <si>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</si>
  <si>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</si>
  <si>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</si>
  <si>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</si>
  <si>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</si>
  <si>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</si>
  <si>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</si>
  <si>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</si>
  <si>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</si>
  <si>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</si>
  <si>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</si>
  <si>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</si>
  <si>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</si>
  <si>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</si>
  <si>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</si>
  <si>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</si>
  <si>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</si>
  <si>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</si>
  <si>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</si>
  <si>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</si>
  <si>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</si>
  <si>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</si>
  <si>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</si>
  <si>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</si>
  <si>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</si>
  <si>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</si>
  <si>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</si>
  <si>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</si>
  <si>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</si>
  <si>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</si>
  <si>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</si>
  <si>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</si>
  <si>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</si>
  <si>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</si>
  <si>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</si>
  <si>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</si>
  <si>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</si>
  <si>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jazdectvo - bežné transfery</t>
  </si>
  <si>
    <t>1/2026</t>
  </si>
  <si>
    <t>poplatok za účet</t>
  </si>
  <si>
    <t>00151653</t>
  </si>
  <si>
    <t>Slovenská sporitelňa a.s.</t>
  </si>
  <si>
    <t>50260151</t>
  </si>
  <si>
    <t>35862289</t>
  </si>
  <si>
    <t>Dom športu s.r.o. Bratislava</t>
  </si>
  <si>
    <t>DF3020250062</t>
  </si>
  <si>
    <t>70260038</t>
  </si>
  <si>
    <t>zDF7020260002</t>
  </si>
  <si>
    <t>203028</t>
  </si>
  <si>
    <t>členské FEI</t>
  </si>
  <si>
    <t>Féderation Equestre Internatiole Lausanne  Švajčiarsko</t>
  </si>
  <si>
    <t>VU 2/2026</t>
  </si>
  <si>
    <t>výpis</t>
  </si>
  <si>
    <t>poplatok za prevod</t>
  </si>
  <si>
    <t>zDF7020260005</t>
  </si>
  <si>
    <t>2640005</t>
  </si>
  <si>
    <t>jazdecké oblečenie pre reprezentáciu 35 ks</t>
  </si>
  <si>
    <t>16211871</t>
  </si>
  <si>
    <t>Rudolf Skŕivan - LITEX, Litomyšl Česká republika</t>
  </si>
  <si>
    <t>zDF7020250006</t>
  </si>
  <si>
    <t>2640004</t>
  </si>
  <si>
    <t>jazdecké oblečenie pre reprezentáciu 45 ks</t>
  </si>
  <si>
    <t>DF3020260032</t>
  </si>
  <si>
    <t>50260096</t>
  </si>
  <si>
    <t>nájom 03</t>
  </si>
  <si>
    <t>zDF7020260015</t>
  </si>
  <si>
    <t>N 0181</t>
  </si>
  <si>
    <t>členské EEF</t>
  </si>
  <si>
    <t>The European Equestrian Federation Belgicko</t>
  </si>
  <si>
    <t>003/2026</t>
  </si>
  <si>
    <t>prenájom jazdeckej haly na záprahové sústredenie 20-22.6.2026</t>
  </si>
  <si>
    <t>42297516</t>
  </si>
  <si>
    <t>Jazdecký klub Czajlik Ranch Dunajský Klatov</t>
  </si>
  <si>
    <t>DF3020260046</t>
  </si>
  <si>
    <t>DF3020260045</t>
  </si>
  <si>
    <t>70260032</t>
  </si>
  <si>
    <t>poštovne 01</t>
  </si>
  <si>
    <t>2/2026</t>
  </si>
  <si>
    <t>VU1/2026</t>
  </si>
  <si>
    <t>nájom 04</t>
  </si>
  <si>
    <t>DF3020250055</t>
  </si>
  <si>
    <t>poštovné 02</t>
  </si>
  <si>
    <t>VV-0003</t>
  </si>
  <si>
    <t>92669004201</t>
  </si>
  <si>
    <t>kancelársky materiál</t>
  </si>
  <si>
    <t>313311131</t>
  </si>
  <si>
    <t>Ševt as. Bratislava</t>
  </si>
  <si>
    <t>VV-0014</t>
  </si>
  <si>
    <t>92669009876</t>
  </si>
  <si>
    <t>obálky</t>
  </si>
  <si>
    <t>VV-0021</t>
  </si>
  <si>
    <t>92669015690</t>
  </si>
  <si>
    <t>obalky bublinkové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</si>
</sst>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33" val="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22"/>
      <c r="D2" s="322"/>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23"/>
      <c r="D22" s="323"/>
    </row>
    <row r="23" spans="1:4" x14ac:dyDescent="0.2">
      <c r="C23" s="324"/>
      <c r="D23" s="323"/>
    </row>
    <row r="24" spans="1:4" ht="68.099999999999994" customHeight="1" x14ac:dyDescent="0.2">
      <c r="A24" s="23" t="s">
        <v>1235</v>
      </c>
      <c r="C24" s="247"/>
      <c r="D24" s="248"/>
    </row>
    <row r="25" spans="1:4" x14ac:dyDescent="0.2">
      <c r="C25" s="320"/>
      <c r="D25" s="321"/>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4" t="str">
        <f>Spolu!C3&amp;", "&amp;Spolu!C6</f>
        <v>SLOVENSKÁ JAZDECKÁ FEDERÁCIA, Olympijské námestie 14290/1, Bratislava, 831 04</v>
      </c>
      <c r="B1" s="374"/>
      <c r="C1" s="374"/>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
      <c r="E4" s="376"/>
      <c r="F4" s="376"/>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379" t="s">
        <v>1169</v>
      </c>
      <c r="C14" s="380"/>
      <c r="F14" s="302"/>
      <c r="N14" s="137" t="str">
        <f t="shared" si="0"/>
        <v xml:space="preserve">n - </v>
      </c>
      <c r="O14" s="137" t="s">
        <v>265</v>
      </c>
    </row>
    <row r="15" spans="1:16" ht="34.35" customHeight="1" x14ac:dyDescent="0.2">
      <c r="A15" s="139" t="s">
        <v>1170</v>
      </c>
      <c r="B15" s="379"/>
      <c r="C15" s="380"/>
      <c r="F15" s="382"/>
      <c r="N15" s="137" t="str">
        <f t="shared" si="0"/>
        <v xml:space="preserve">o - </v>
      </c>
      <c r="O15" s="137" t="s">
        <v>266</v>
      </c>
    </row>
    <row r="16" spans="1:16" x14ac:dyDescent="0.2">
      <c r="A16" s="139" t="s">
        <v>1155</v>
      </c>
      <c r="B16" s="142">
        <f>F8</f>
        <v>0</v>
      </c>
      <c r="C16" s="137"/>
      <c r="F16" s="382"/>
      <c r="N16" s="137" t="str">
        <f t="shared" si="0"/>
        <v xml:space="preserve">p - </v>
      </c>
      <c r="O16" s="137" t="s">
        <v>267</v>
      </c>
    </row>
    <row r="17" spans="1:16" ht="32.1" customHeight="1" x14ac:dyDescent="0.2">
      <c r="A17" s="139" t="s">
        <v>1158</v>
      </c>
      <c r="B17" s="142">
        <f>F9</f>
        <v>0</v>
      </c>
      <c r="C17" s="137"/>
      <c r="F17" s="382"/>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31787801</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81" t="s">
        <v>1163</v>
      </c>
      <c r="C24" s="381"/>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383" t="s">
        <v>1175</v>
      </c>
      <c r="B2" s="383"/>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5" t="s">
        <v>51</v>
      </c>
      <c r="B1" s="325"/>
      <c r="C1" s="325"/>
      <c r="D1" s="325"/>
      <c r="E1" s="325"/>
      <c r="F1" s="325"/>
      <c r="G1" s="325"/>
      <c r="H1" s="325"/>
      <c r="I1" s="52"/>
      <c r="J1" s="37"/>
    </row>
    <row r="2" spans="1:11" ht="15" x14ac:dyDescent="0.2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5" x14ac:dyDescent="0.25">
      <c r="A3" s="40"/>
      <c r="B3" s="40"/>
      <c r="C3" s="40"/>
      <c r="D3" s="40"/>
      <c r="E3" s="40"/>
      <c r="F3" s="40"/>
      <c r="G3" s="40"/>
      <c r="H3" s="330">
        <f>+Doklady!I101</f>
        <v>46053</v>
      </c>
      <c r="I3" s="330"/>
    </row>
    <row r="4" spans="1:11" ht="15.75" customHeight="1" x14ac:dyDescent="0.2">
      <c r="A4" s="41" t="s">
        <v>52</v>
      </c>
      <c r="B4" s="326" t="s">
        <v>53</v>
      </c>
      <c r="C4" s="327"/>
      <c r="D4" s="327"/>
      <c r="E4" s="328"/>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34" t="s">
        <v>1568</v>
      </c>
      <c r="B1" s="335"/>
      <c r="C1" s="166">
        <v>46112</v>
      </c>
      <c r="D1" s="26"/>
      <c r="G1" s="244">
        <v>46053</v>
      </c>
    </row>
    <row r="2" spans="1:7" ht="15" x14ac:dyDescent="0.25">
      <c r="A2" s="28"/>
      <c r="B2" s="28"/>
      <c r="G2" s="244">
        <v>46081</v>
      </c>
    </row>
    <row r="3" spans="1:7" ht="14.25" x14ac:dyDescent="0.2">
      <c r="A3" s="30" t="s">
        <v>214</v>
      </c>
      <c r="B3" s="332" t="str">
        <f>INDEX(Adr!B:B,Doklady!B102+1)</f>
        <v>SLOVENSKÁ JAZDECKÁ FEDERÁCIA</v>
      </c>
      <c r="C3" s="332"/>
      <c r="D3" s="332"/>
      <c r="G3" s="244">
        <v>46112</v>
      </c>
    </row>
    <row r="4" spans="1:7" ht="14.25" x14ac:dyDescent="0.2">
      <c r="A4" s="30" t="s">
        <v>215</v>
      </c>
      <c r="B4" s="29" t="str">
        <f>RIGHT("0000"&amp;INDEX(Adr!A:A,Doklady!B102+1),8)</f>
        <v>31787801</v>
      </c>
      <c r="G4" s="244">
        <v>46142</v>
      </c>
    </row>
    <row r="5" spans="1:7" ht="14.25" x14ac:dyDescent="0.2">
      <c r="A5" s="30" t="s">
        <v>216</v>
      </c>
      <c r="B5" s="29" t="str">
        <f>INDEX(Adr!D:D,Doklady!B102+1)&amp;", "&amp;INDEX(Adr!E:E,Doklady!B102+1)</f>
        <v>Olympijské námestie 14290/1, Bratislava</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v>46564</v>
      </c>
      <c r="G11" s="244">
        <v>46356</v>
      </c>
    </row>
    <row r="12" spans="1:7" ht="14.25" x14ac:dyDescent="0.2">
      <c r="A12" s="133" t="s">
        <v>223</v>
      </c>
      <c r="B12" s="134" t="s">
        <v>224</v>
      </c>
      <c r="C12" s="167">
        <f>+Spolu!C12</f>
        <v>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46564</v>
      </c>
      <c r="G15" s="244"/>
    </row>
    <row r="16" spans="1:7" ht="14.25" x14ac:dyDescent="0.2">
      <c r="G16" s="244"/>
    </row>
    <row r="17" spans="1:5" ht="72" customHeight="1" x14ac:dyDescent="0.2">
      <c r="A17" s="333" t="s">
        <v>230</v>
      </c>
      <c r="B17" s="333"/>
      <c r="C17" s="333"/>
      <c r="D17" s="333"/>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5" t="str">
        <f>Doklady!A100</f>
        <v>Priebežné čerpanie a vyúčtovanie finančných prostriedkov poskytnutých zo štátneho rozpočtu v oblasti športu v roku 2026</v>
      </c>
      <c r="B1" s="355"/>
      <c r="C1" s="355"/>
      <c r="D1" s="355"/>
      <c r="E1" s="355"/>
      <c r="F1" s="355"/>
      <c r="G1" s="355"/>
      <c r="H1" s="355"/>
      <c r="I1" s="355"/>
    </row>
    <row r="2" spans="1:26" ht="7.5" customHeight="1" x14ac:dyDescent="0.2">
      <c r="C2" s="8"/>
      <c r="D2" s="8"/>
      <c r="E2" s="8"/>
      <c r="F2" s="8"/>
      <c r="G2" s="8"/>
      <c r="H2" s="8"/>
      <c r="I2" s="8"/>
    </row>
    <row r="3" spans="1:26" s="9" customFormat="1" ht="26.1" customHeight="1" x14ac:dyDescent="0.2">
      <c r="B3" s="152" t="s">
        <v>52</v>
      </c>
      <c r="C3" s="356" t="str">
        <f>INDEX(Adr!B2:B242,Doklady!B102)</f>
        <v>SLOVENSKÁ JAZDECKÁ FEDERÁCIA</v>
      </c>
      <c r="D3" s="356"/>
      <c r="E3" s="356"/>
      <c r="F3" s="356"/>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31787801</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57" t="s">
        <v>235</v>
      </c>
      <c r="F9" s="358"/>
      <c r="J9" s="8"/>
      <c r="L9" s="118"/>
      <c r="M9" s="118"/>
      <c r="N9" s="118"/>
      <c r="O9" s="118"/>
      <c r="P9" s="118"/>
      <c r="Q9" s="118"/>
      <c r="R9" s="118"/>
      <c r="S9" s="118"/>
    </row>
    <row r="10" spans="1:26" ht="18" x14ac:dyDescent="0.25">
      <c r="A10" s="69" t="s">
        <v>219</v>
      </c>
      <c r="B10" s="70" t="s">
        <v>220</v>
      </c>
      <c r="C10" s="126">
        <f>SUMIF(FP!J:J,Doklady!$B$1&amp;A10,FP!D:D)</f>
        <v>0</v>
      </c>
      <c r="D10" s="126">
        <f>C10-E10</f>
        <v>0</v>
      </c>
      <c r="E10" s="351">
        <f>SUMIF(K:K,A10,I:I)</f>
        <v>0</v>
      </c>
      <c r="F10" s="352"/>
      <c r="L10" s="120" t="s">
        <v>236</v>
      </c>
      <c r="M10" s="118"/>
      <c r="N10" s="118"/>
      <c r="O10" s="118"/>
      <c r="P10" s="118"/>
      <c r="Q10" s="118"/>
      <c r="R10" s="118"/>
      <c r="S10" s="118"/>
    </row>
    <row r="11" spans="1:26" ht="18" x14ac:dyDescent="0.25">
      <c r="A11" s="69" t="s">
        <v>221</v>
      </c>
      <c r="B11" s="70" t="s">
        <v>222</v>
      </c>
      <c r="C11" s="126">
        <f>SUMIF(FP!J:J,Doklady!$B$1&amp;A11,FP!D:D)</f>
        <v>186255</v>
      </c>
      <c r="D11" s="126">
        <f>+C11-E11</f>
        <v>27528.619999999995</v>
      </c>
      <c r="E11" s="359">
        <f>+I39-I42+I44-I47</f>
        <v>158726.38</v>
      </c>
      <c r="F11" s="360"/>
      <c r="J11" s="168"/>
      <c r="L11" s="153" t="str">
        <f>L41</f>
        <v>a - jazdectvo - bežné transfery</v>
      </c>
      <c r="M11" s="118"/>
      <c r="N11" s="118"/>
      <c r="O11" s="118"/>
      <c r="P11" s="118"/>
      <c r="Q11" s="118"/>
      <c r="R11" s="118"/>
      <c r="S11" s="118"/>
    </row>
    <row r="12" spans="1:26" ht="18" x14ac:dyDescent="0.25">
      <c r="A12" s="69" t="s">
        <v>223</v>
      </c>
      <c r="B12" s="70" t="s">
        <v>224</v>
      </c>
      <c r="C12" s="126">
        <f>SUMIF(FP!J:J,Doklady!$B$1&amp;A12,FP!D:D)</f>
        <v>0</v>
      </c>
      <c r="D12" s="126">
        <f>C12-E12</f>
        <v>0</v>
      </c>
      <c r="E12" s="351">
        <f>SUMIF(K:K,A12,I:I)</f>
        <v>0</v>
      </c>
      <c r="F12" s="352"/>
      <c r="J12" s="169"/>
      <c r="L12" s="153" t="str">
        <f>L42</f>
        <v>a - jazdectvo - kapitálové transfery</v>
      </c>
      <c r="N12" s="118"/>
      <c r="O12" s="118"/>
      <c r="P12" s="118"/>
      <c r="Q12" s="118"/>
      <c r="R12" s="118"/>
      <c r="S12" s="118"/>
    </row>
    <row r="13" spans="1:26" ht="18" x14ac:dyDescent="0.25">
      <c r="A13" s="69" t="s">
        <v>225</v>
      </c>
      <c r="B13" s="70" t="s">
        <v>226</v>
      </c>
      <c r="C13" s="126">
        <f>SUMIF(FP!J:J,Doklady!$B$1&amp;A13,FP!D:D)</f>
        <v>0</v>
      </c>
      <c r="D13" s="126">
        <f>C13-E13</f>
        <v>0</v>
      </c>
      <c r="E13" s="351">
        <f>SUMIF(K:K,A13,I:I)</f>
        <v>0</v>
      </c>
      <c r="F13" s="352"/>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61">
        <f>SUMIF(K:K,A14,I:I)</f>
        <v>0</v>
      </c>
      <c r="F14" s="362"/>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43" t="s">
        <v>238</v>
      </c>
      <c r="C16" s="344"/>
      <c r="D16" s="344"/>
      <c r="E16" s="344"/>
      <c r="F16" s="344"/>
      <c r="G16" s="344"/>
      <c r="H16" s="34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46" t="s">
        <v>241</v>
      </c>
      <c r="C17" s="346"/>
      <c r="D17" s="346"/>
      <c r="E17" s="346"/>
      <c r="F17" s="346"/>
      <c r="G17" s="346"/>
      <c r="H17" s="346"/>
      <c r="I17" s="73">
        <f>SUMIF(FP!I:I,Doklady!$B$1&amp;A17,FP!D:D)</f>
        <v>186255</v>
      </c>
      <c r="T17" s="86"/>
    </row>
    <row r="18" spans="1:20" x14ac:dyDescent="0.2">
      <c r="A18" s="135" t="s">
        <v>242</v>
      </c>
      <c r="B18" s="346" t="s">
        <v>243</v>
      </c>
      <c r="C18" s="346"/>
      <c r="D18" s="346"/>
      <c r="E18" s="346"/>
      <c r="F18" s="346"/>
      <c r="G18" s="346"/>
      <c r="H18" s="346"/>
      <c r="I18" s="73">
        <f>SUMIF(FP!I:I,Doklady!$B$1&amp;A18,FP!D:D)</f>
        <v>0</v>
      </c>
    </row>
    <row r="19" spans="1:20" x14ac:dyDescent="0.2">
      <c r="A19" s="115" t="s">
        <v>244</v>
      </c>
      <c r="B19" s="346" t="s">
        <v>245</v>
      </c>
      <c r="C19" s="346"/>
      <c r="D19" s="346"/>
      <c r="E19" s="346"/>
      <c r="F19" s="346"/>
      <c r="G19" s="346"/>
      <c r="H19" s="346"/>
      <c r="I19" s="73">
        <f>SUMIF(FP!I:I,Doklady!$B$1&amp;A19,FP!D:D)</f>
        <v>0</v>
      </c>
    </row>
    <row r="20" spans="1:20" x14ac:dyDescent="0.2">
      <c r="A20" s="135" t="s">
        <v>246</v>
      </c>
      <c r="B20" s="340" t="s">
        <v>247</v>
      </c>
      <c r="C20" s="341"/>
      <c r="D20" s="341"/>
      <c r="E20" s="341"/>
      <c r="F20" s="341"/>
      <c r="G20" s="341"/>
      <c r="H20" s="342"/>
      <c r="I20" s="73">
        <f>SUMIF(FP!I:I,Doklady!$B$1&amp;A20,FP!D:D)</f>
        <v>0</v>
      </c>
      <c r="T20" s="86"/>
    </row>
    <row r="21" spans="1:20" x14ac:dyDescent="0.2">
      <c r="A21" s="115" t="s">
        <v>248</v>
      </c>
      <c r="B21" s="340" t="s">
        <v>249</v>
      </c>
      <c r="C21" s="341"/>
      <c r="D21" s="341"/>
      <c r="E21" s="341"/>
      <c r="F21" s="341"/>
      <c r="G21" s="341"/>
      <c r="H21" s="342"/>
      <c r="I21" s="73">
        <f>SUMIF(FP!I:I,Doklady!$B$1&amp;A21,FP!D:D)</f>
        <v>0</v>
      </c>
      <c r="T21" s="86"/>
    </row>
    <row r="22" spans="1:20" x14ac:dyDescent="0.2">
      <c r="A22" s="135" t="s">
        <v>250</v>
      </c>
      <c r="B22" s="347" t="s">
        <v>251</v>
      </c>
      <c r="C22" s="348"/>
      <c r="D22" s="348"/>
      <c r="E22" s="348"/>
      <c r="F22" s="348"/>
      <c r="G22" s="348"/>
      <c r="H22" s="349"/>
      <c r="I22" s="73">
        <f>SUMIF(FP!I:I,Doklady!$B$1&amp;A22,FP!D:D)</f>
        <v>0</v>
      </c>
      <c r="T22" s="86"/>
    </row>
    <row r="23" spans="1:20" x14ac:dyDescent="0.2">
      <c r="A23" s="115" t="s">
        <v>252</v>
      </c>
      <c r="B23" s="340" t="s">
        <v>253</v>
      </c>
      <c r="C23" s="341"/>
      <c r="D23" s="341"/>
      <c r="E23" s="341"/>
      <c r="F23" s="341"/>
      <c r="G23" s="341"/>
      <c r="H23" s="342"/>
      <c r="I23" s="73">
        <f>SUMIF(FP!I:I,Doklady!$B$1&amp;A23,FP!D:D)</f>
        <v>0</v>
      </c>
      <c r="T23" s="86"/>
    </row>
    <row r="24" spans="1:20" x14ac:dyDescent="0.2">
      <c r="A24" s="135" t="s">
        <v>254</v>
      </c>
      <c r="B24" s="340" t="s">
        <v>255</v>
      </c>
      <c r="C24" s="341"/>
      <c r="D24" s="341"/>
      <c r="E24" s="341"/>
      <c r="F24" s="341"/>
      <c r="G24" s="341"/>
      <c r="H24" s="342"/>
      <c r="I24" s="73">
        <f>SUMIF(FP!I:I,Doklady!$B$1&amp;A24,FP!D:D)</f>
        <v>0</v>
      </c>
      <c r="T24" s="86"/>
    </row>
    <row r="25" spans="1:20" x14ac:dyDescent="0.2">
      <c r="A25" s="115" t="s">
        <v>256</v>
      </c>
      <c r="B25" s="363" t="s">
        <v>1469</v>
      </c>
      <c r="C25" s="364"/>
      <c r="D25" s="364"/>
      <c r="E25" s="364"/>
      <c r="F25" s="364"/>
      <c r="G25" s="364"/>
      <c r="H25" s="365"/>
      <c r="I25" s="73">
        <f>SUMIF(FP!I:I,Doklady!$B$1&amp;A25,FP!D:D)</f>
        <v>0</v>
      </c>
      <c r="T25" s="86"/>
    </row>
    <row r="26" spans="1:20" x14ac:dyDescent="0.2">
      <c r="A26" s="135" t="s">
        <v>257</v>
      </c>
      <c r="B26" s="340" t="s">
        <v>258</v>
      </c>
      <c r="C26" s="341"/>
      <c r="D26" s="341"/>
      <c r="E26" s="341"/>
      <c r="F26" s="341"/>
      <c r="G26" s="341"/>
      <c r="H26" s="342"/>
      <c r="I26" s="73">
        <f>SUMIF(FP!I:I,Doklady!$B$1&amp;A26,FP!D:D)</f>
        <v>0</v>
      </c>
      <c r="T26" s="86"/>
    </row>
    <row r="27" spans="1:20" x14ac:dyDescent="0.2">
      <c r="A27" s="115" t="s">
        <v>259</v>
      </c>
      <c r="B27" s="340" t="s">
        <v>260</v>
      </c>
      <c r="C27" s="341"/>
      <c r="D27" s="341"/>
      <c r="E27" s="341"/>
      <c r="F27" s="341"/>
      <c r="G27" s="341"/>
      <c r="H27" s="342"/>
      <c r="I27" s="73">
        <f>SUMIF(FP!I:I,Doklady!$B$1&amp;A27,FP!D:D)</f>
        <v>0</v>
      </c>
      <c r="T27" s="86"/>
    </row>
    <row r="28" spans="1:20" x14ac:dyDescent="0.2">
      <c r="A28" s="135" t="s">
        <v>261</v>
      </c>
      <c r="B28" s="340" t="s">
        <v>1482</v>
      </c>
      <c r="C28" s="341"/>
      <c r="D28" s="341"/>
      <c r="E28" s="341"/>
      <c r="F28" s="341"/>
      <c r="G28" s="341"/>
      <c r="H28" s="342"/>
      <c r="I28" s="73">
        <f>SUMIF(FP!I:I,Doklady!$B$1&amp;A28,FP!D:D)</f>
        <v>0</v>
      </c>
      <c r="T28" s="86"/>
    </row>
    <row r="29" spans="1:20" x14ac:dyDescent="0.2">
      <c r="A29" s="115" t="s">
        <v>263</v>
      </c>
      <c r="B29" s="340" t="s">
        <v>264</v>
      </c>
      <c r="C29" s="341"/>
      <c r="D29" s="341"/>
      <c r="E29" s="341"/>
      <c r="F29" s="341"/>
      <c r="G29" s="341"/>
      <c r="H29" s="342"/>
      <c r="I29" s="73">
        <f>SUMIF(FP!I:I,Doklady!$B$1&amp;A29,FP!D:D)</f>
        <v>0</v>
      </c>
      <c r="T29" s="86"/>
    </row>
    <row r="30" spans="1:20" hidden="1" x14ac:dyDescent="0.2">
      <c r="A30" s="135" t="s">
        <v>265</v>
      </c>
      <c r="B30" s="340"/>
      <c r="C30" s="341"/>
      <c r="D30" s="341"/>
      <c r="E30" s="341"/>
      <c r="F30" s="341"/>
      <c r="G30" s="341"/>
      <c r="H30" s="342"/>
      <c r="I30" s="73">
        <f>SUMIF(FP!I:I,Doklady!$B$1&amp;A30,FP!D:D)</f>
        <v>0</v>
      </c>
      <c r="T30" s="86"/>
    </row>
    <row r="31" spans="1:20" hidden="1" x14ac:dyDescent="0.2">
      <c r="A31" s="115" t="s">
        <v>266</v>
      </c>
      <c r="B31" s="340"/>
      <c r="C31" s="341"/>
      <c r="D31" s="341"/>
      <c r="E31" s="341"/>
      <c r="F31" s="341"/>
      <c r="G31" s="341"/>
      <c r="H31" s="342"/>
      <c r="I31" s="73">
        <f>SUMIF(FP!I:I,Doklady!$B$1&amp;A31,FP!D:D)</f>
        <v>0</v>
      </c>
      <c r="T31" s="86"/>
    </row>
    <row r="32" spans="1:20" hidden="1" x14ac:dyDescent="0.2">
      <c r="A32" s="135" t="s">
        <v>267</v>
      </c>
      <c r="B32" s="336"/>
      <c r="C32" s="337"/>
      <c r="D32" s="337"/>
      <c r="E32" s="337"/>
      <c r="F32" s="337"/>
      <c r="G32" s="337"/>
      <c r="H32" s="338"/>
      <c r="I32" s="73">
        <f>SUMIF(FP!I:I,Doklady!$B$1&amp;A32,FP!D:D)</f>
        <v>0</v>
      </c>
      <c r="T32" s="86"/>
    </row>
    <row r="33" spans="1:21" hidden="1" x14ac:dyDescent="0.2">
      <c r="A33" s="115" t="s">
        <v>268</v>
      </c>
      <c r="B33" s="336"/>
      <c r="C33" s="337"/>
      <c r="D33" s="337"/>
      <c r="E33" s="337"/>
      <c r="F33" s="337"/>
      <c r="G33" s="337"/>
      <c r="H33" s="338"/>
      <c r="I33" s="73">
        <f>SUMIF(FP!I:I,Doklady!$B$1&amp;A33,FP!D:D)</f>
        <v>0</v>
      </c>
      <c r="T33" s="86"/>
    </row>
    <row r="34" spans="1:21" hidden="1" x14ac:dyDescent="0.2">
      <c r="A34" s="135" t="s">
        <v>269</v>
      </c>
      <c r="B34" s="339"/>
      <c r="C34" s="339"/>
      <c r="D34" s="339"/>
      <c r="E34" s="339"/>
      <c r="F34" s="339"/>
      <c r="G34" s="339"/>
      <c r="H34" s="339"/>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jazdectvo</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37251</v>
      </c>
      <c r="D39" s="78">
        <f>I39*0.2</f>
        <v>37251</v>
      </c>
      <c r="E39" s="78">
        <f>I39*0.25</f>
        <v>46563.75</v>
      </c>
      <c r="F39" s="78">
        <f>+I39*0.15</f>
        <v>27938.25</v>
      </c>
      <c r="G39" s="78">
        <f>+MAX(I39-C39-D39-E39-F39-H39,0)</f>
        <v>37251</v>
      </c>
      <c r="H39" s="78">
        <f>+IFERROR(VLOOKUP(K40&amp;" - kapitálové transfery",B$53:C$90,2,0),0)</f>
        <v>0</v>
      </c>
      <c r="I39" s="73">
        <f>SUMIF(FP!K:K,K40,FP!D:D)</f>
        <v>186255</v>
      </c>
      <c r="L39" s="84">
        <f>COUNTIF(FP!N:N,Doklady!B1&amp;"aK")</f>
        <v>0</v>
      </c>
      <c r="T39" s="86"/>
    </row>
    <row r="40" spans="1:21" x14ac:dyDescent="0.2">
      <c r="A40" s="115" t="s">
        <v>240</v>
      </c>
      <c r="B40" s="116" t="s">
        <v>274</v>
      </c>
      <c r="C40" s="78">
        <f>DSUM(Doklady!A103:J10000,"GGG",Spolu!L40:M42)</f>
        <v>0</v>
      </c>
      <c r="D40" s="78">
        <f>DSUM(Doklady!A103:J10000,"GGG",Spolu!N40:O42)</f>
        <v>0</v>
      </c>
      <c r="E40" s="78">
        <f>DSUM(Doklady!A103:J10000,"GGG",Spolu!P40:Q42)</f>
        <v>24168.959999999999</v>
      </c>
      <c r="F40" s="78">
        <f>DSUM(Doklady!A103:J10000,"GGG",Spolu!R40:S42)</f>
        <v>3359.6600000000003</v>
      </c>
      <c r="G40" s="78">
        <f>DSUM(Doklady!A103:J10000,"GGG",Spolu!T40:U42)-H40</f>
        <v>0</v>
      </c>
      <c r="H40" s="78">
        <f>+IFERROR(VLOOKUP(K40&amp;" - kapitálové transfery",B$53:D$90,3,0),0)</f>
        <v>0</v>
      </c>
      <c r="I40" s="73">
        <f>+C40+D40+E40+F40+G40+H40</f>
        <v>27528.62</v>
      </c>
      <c r="J40" s="210" t="str">
        <f>+K45</f>
        <v>.</v>
      </c>
      <c r="K40" s="210" t="str">
        <f>IF(L38&gt;0,INDEX(FP!K:K,Doklady!B2),".")</f>
        <v>jazdectvo</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37251</v>
      </c>
      <c r="D41" s="78">
        <f>MAX(D39-D40,0)</f>
        <v>37251</v>
      </c>
      <c r="E41" s="78">
        <f>MAX(E39-E40,0)</f>
        <v>22394.79</v>
      </c>
      <c r="F41" s="78">
        <f>MIN(I39,MAX(-F39+F40,0))</f>
        <v>0</v>
      </c>
      <c r="G41" s="78">
        <f>MIN(J39,MAX(-G39+G40+MIN(F40-F39,0),0))</f>
        <v>0</v>
      </c>
      <c r="H41" s="78">
        <f>MAX(H39-H40,0)</f>
        <v>0</v>
      </c>
      <c r="I41" s="124">
        <f>+I39-I42</f>
        <v>158726.38</v>
      </c>
      <c r="J41" s="211">
        <f>+K46</f>
        <v>0</v>
      </c>
      <c r="K41" s="211">
        <f>+I41-H41</f>
        <v>158726.38</v>
      </c>
      <c r="L41" s="153" t="str">
        <f>IF(L38&gt;0,"a - "&amp;INDEX(FP!C:C,Doklady!B2),2)</f>
        <v>a - jazdectvo - bežné transfery</v>
      </c>
      <c r="M41" s="120">
        <v>1</v>
      </c>
      <c r="N41" s="153" t="str">
        <f>+L41</f>
        <v>a - jazdectvo - bežné transfery</v>
      </c>
      <c r="O41" s="120">
        <v>2</v>
      </c>
      <c r="P41" s="153" t="str">
        <f>+L41</f>
        <v>a - jazdectvo - bežné transfery</v>
      </c>
      <c r="Q41" s="120">
        <v>3</v>
      </c>
      <c r="R41" s="153" t="str">
        <f>+L41</f>
        <v>a - jazdectvo - bežné transfery</v>
      </c>
      <c r="S41" s="120">
        <v>4</v>
      </c>
      <c r="T41" s="153" t="str">
        <f>+L41</f>
        <v>a - jazdectvo - bežné transfery</v>
      </c>
      <c r="U41" s="120">
        <v>5</v>
      </c>
    </row>
    <row r="42" spans="1:21" ht="10.5" customHeight="1" x14ac:dyDescent="0.2">
      <c r="A42" s="115" t="s">
        <v>240</v>
      </c>
      <c r="B42" s="116" t="s">
        <v>277</v>
      </c>
      <c r="C42" s="73">
        <f>+C40</f>
        <v>0</v>
      </c>
      <c r="D42" s="208">
        <f>+D40</f>
        <v>0</v>
      </c>
      <c r="E42" s="208">
        <f>+E40</f>
        <v>24168.959999999999</v>
      </c>
      <c r="F42" s="208">
        <f>+MIN(F39:F40)</f>
        <v>3359.6600000000003</v>
      </c>
      <c r="G42" s="208">
        <f>+MIN(G39+MAX(F39-F40,0)-MAX(E40-E39,0)-MAX(D40-D39,0)-MAX(C40-C39,0),G40)</f>
        <v>0</v>
      </c>
      <c r="H42" s="208">
        <f>+MIN(H39:H40)</f>
        <v>0</v>
      </c>
      <c r="I42" s="73">
        <f>+C42+D42+E42+MIN(F39:F40)+G42+H42</f>
        <v>27528.62</v>
      </c>
      <c r="J42" s="211">
        <f>+K47</f>
        <v>0</v>
      </c>
      <c r="K42" s="211">
        <f>+I42-H42</f>
        <v>27528.62</v>
      </c>
      <c r="L42" s="153" t="str">
        <f>+SUBSTITUTE(L41,"bežné","kapitálové")</f>
        <v>a - jazdectvo - kapitálové transfery</v>
      </c>
      <c r="M42" s="120">
        <v>1</v>
      </c>
      <c r="N42" s="153" t="str">
        <f>+L42</f>
        <v>a - jazdectvo - kapitálové transfery</v>
      </c>
      <c r="O42" s="120">
        <v>2</v>
      </c>
      <c r="P42" s="153" t="str">
        <f>+L42</f>
        <v>a - jazdectvo - kapitálové transfery</v>
      </c>
      <c r="Q42" s="120">
        <v>3</v>
      </c>
      <c r="R42" s="153" t="str">
        <f>+L42</f>
        <v>a - jazdectvo - kapitálové transfery</v>
      </c>
      <c r="S42" s="120">
        <v>4</v>
      </c>
      <c r="T42" s="153" t="str">
        <f>+L42</f>
        <v>a - jazdectvo - kapitálové transfery</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53"/>
      <c r="B50" s="354"/>
      <c r="C50" s="354"/>
      <c r="D50" s="354"/>
      <c r="E50" s="354"/>
      <c r="F50" s="354"/>
      <c r="G50" s="354"/>
      <c r="H50" s="354"/>
      <c r="I50" s="354"/>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jazdectvo - bežné transfery</v>
      </c>
      <c r="C53" s="73">
        <f>IF(A53&lt;&gt;"",INDEX(FP!D:D,Doklady!B$2+(ROW()-53)),"")</f>
        <v>186255</v>
      </c>
      <c r="D53" s="73">
        <f>IF(A53&lt;&gt;"",Doklady!I1-Doklady!J1,"")</f>
        <v>27528.620000000003</v>
      </c>
      <c r="E53" s="73">
        <f>IF(A53&lt;&gt;"",MIN(D53,C53)*Doklady!C1/(1-Doklady!C1),"")</f>
        <v>0</v>
      </c>
      <c r="F53" s="71">
        <f>IF(A53&lt;&gt;"",Doklady!J1,"")</f>
        <v>0</v>
      </c>
      <c r="G53" s="73">
        <f>+IFERROR(HLOOKUP(IF(RIGHT(B53,15)="bežné transfery",LEFT(B53,LEN(B53)-18),0),$J$40:$K$42,3,0),MIN(C53,D53))</f>
        <v>27528.62</v>
      </c>
      <c r="H53" s="71"/>
      <c r="I53" s="73">
        <f>IF(A53&lt;&gt;"",MAX(IF(G53&lt;C53,C53-G53,0)+IF(F53&lt;E53,E53-F53,0),0),0)</f>
        <v>158726.38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186255</v>
      </c>
      <c r="D130" s="220">
        <f t="shared" ref="D130:I130" si="9">SUM(D53:D129)</f>
        <v>27528.620000000003</v>
      </c>
      <c r="E130" s="220">
        <f t="shared" si="9"/>
        <v>0</v>
      </c>
      <c r="F130" s="220">
        <f t="shared" si="9"/>
        <v>0</v>
      </c>
      <c r="G130" s="220">
        <f t="shared" si="9"/>
        <v>27528.62</v>
      </c>
      <c r="H130" s="220">
        <f t="shared" si="9"/>
        <v>0</v>
      </c>
      <c r="I130" s="220">
        <f t="shared" si="9"/>
        <v>158726.38</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66"/>
      <c r="E140" s="366"/>
      <c r="F140" s="366"/>
      <c r="G140" s="366"/>
      <c r="H140" s="366"/>
      <c r="I140" s="366"/>
      <c r="J140" s="85"/>
    </row>
    <row r="141" spans="1:26" ht="68.25" customHeight="1" x14ac:dyDescent="0.2">
      <c r="A141" s="9"/>
      <c r="B141" s="273" t="s">
        <v>293</v>
      </c>
      <c r="C141" s="206"/>
      <c r="D141" s="350" t="s">
        <v>294</v>
      </c>
      <c r="E141" s="350"/>
      <c r="F141" s="350"/>
      <c r="G141" s="350"/>
      <c r="H141" s="350"/>
      <c r="I141" s="350"/>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J121" sqref="J121"/>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jazdectvo - bežné transfery</v>
      </c>
      <c r="B1" s="224" t="str">
        <f>INDEX(Adr!A:A,B102+1)</f>
        <v>31787801</v>
      </c>
      <c r="C1" s="225">
        <f>IF(ROW()&lt;=B$3,INDEX(FP!E:E,B$2+ROW()-1),"")</f>
        <v>0</v>
      </c>
      <c r="D1" s="226" t="str">
        <f>IF(ROW()&lt;=B$3,INDEX(FP!F:F,B$2+ROW()-1),"")</f>
        <v>a</v>
      </c>
      <c r="E1" s="226"/>
      <c r="F1" s="226" t="str">
        <f>IF(ROW()&lt;=B$3,INDEX(FP!G:G,B$2+ROW()-1),"")</f>
        <v>026 02</v>
      </c>
      <c r="G1" s="226"/>
      <c r="H1" s="227" t="str">
        <f>IF(ROW()&lt;=B$3,INDEX(FP!C:C,B$2+ROW()-1),"")</f>
        <v>jazdectvo - bežné transfery</v>
      </c>
      <c r="I1" s="228">
        <f t="shared" ref="I1:I6" si="0">IF(ROW()&lt;=B$3,SUMIF(A$107:A$10042,A1,I$107:I$10042),"")</f>
        <v>27528.620000000003</v>
      </c>
      <c r="J1" s="228">
        <f t="shared" ref="J1:J32" si="1">IF(ROW()&lt;=B$3,SUMIFS(I$103:I$50042,A$103:A$50042,K1,J$103:J$50042,L1),"")</f>
        <v>0</v>
      </c>
      <c r="K1" s="110" t="str">
        <f>$A1</f>
        <v>a - jazdectvo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
      </c>
      <c r="B2" s="229">
        <f>MATCH(B1,FP!A:A,0)</f>
        <v>73</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67" t="s">
        <v>1486</v>
      </c>
      <c r="B100" s="367"/>
      <c r="C100" s="367"/>
      <c r="D100" s="367"/>
      <c r="E100" s="367"/>
      <c r="F100" s="367"/>
      <c r="G100" s="367"/>
      <c r="H100" s="367"/>
      <c r="I100" s="369" t="s">
        <v>1487</v>
      </c>
      <c r="J100" s="369"/>
      <c r="K100" s="89"/>
    </row>
    <row r="101" spans="1:25" ht="15.75" x14ac:dyDescent="0.25">
      <c r="A101" s="367"/>
      <c r="B101" s="367"/>
      <c r="C101" s="367"/>
      <c r="D101" s="367"/>
      <c r="E101" s="367"/>
      <c r="F101" s="367"/>
      <c r="G101" s="367"/>
      <c r="H101" s="367"/>
      <c r="I101" s="368">
        <v>46053</v>
      </c>
      <c r="J101" s="368"/>
    </row>
    <row r="102" spans="1:25" ht="14.25" x14ac:dyDescent="0.2">
      <c r="A102" s="241" t="s">
        <v>299</v>
      </c>
      <c r="B102" s="242">
        <v>33</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1854</v>
      </c>
      <c r="B107" s="14" t="s">
        <v>1895</v>
      </c>
      <c r="C107" s="14" t="s">
        <v>1855</v>
      </c>
      <c r="D107" s="16">
        <v>46053</v>
      </c>
      <c r="E107" s="16"/>
      <c r="F107" s="14" t="s">
        <v>1856</v>
      </c>
      <c r="G107" s="14" t="s">
        <v>1857</v>
      </c>
      <c r="H107" s="14" t="s">
        <v>1858</v>
      </c>
      <c r="I107" s="15">
        <v>5</v>
      </c>
      <c r="J107" s="77">
        <v>4</v>
      </c>
      <c r="K107" s="92"/>
    </row>
    <row r="108" spans="1:25" ht="22.5" x14ac:dyDescent="0.2">
      <c r="A108" s="14" t="s">
        <v>1854</v>
      </c>
      <c r="B108" s="14" t="s">
        <v>1864</v>
      </c>
      <c r="C108" s="14" t="s">
        <v>1865</v>
      </c>
      <c r="D108" s="16">
        <v>46055</v>
      </c>
      <c r="E108" s="16"/>
      <c r="F108" s="14" t="s">
        <v>1866</v>
      </c>
      <c r="G108" s="14"/>
      <c r="H108" s="14" t="s">
        <v>1867</v>
      </c>
      <c r="I108" s="15">
        <v>14564.19</v>
      </c>
      <c r="J108" s="77">
        <v>3</v>
      </c>
      <c r="K108" s="92"/>
    </row>
    <row r="109" spans="1:25" ht="12.75" x14ac:dyDescent="0.2">
      <c r="A109" s="14" t="s">
        <v>1854</v>
      </c>
      <c r="B109" s="14" t="s">
        <v>1868</v>
      </c>
      <c r="C109" s="14" t="s">
        <v>1869</v>
      </c>
      <c r="D109" s="16">
        <v>46055</v>
      </c>
      <c r="E109" s="16"/>
      <c r="F109" s="14" t="s">
        <v>1870</v>
      </c>
      <c r="G109" s="14" t="s">
        <v>1857</v>
      </c>
      <c r="H109" s="14" t="s">
        <v>1858</v>
      </c>
      <c r="I109" s="15">
        <v>30</v>
      </c>
      <c r="J109" s="77">
        <v>3</v>
      </c>
      <c r="K109" s="92"/>
    </row>
    <row r="110" spans="1:25" ht="22.5" x14ac:dyDescent="0.2">
      <c r="A110" s="14" t="s">
        <v>1854</v>
      </c>
      <c r="B110" s="14" t="s">
        <v>1871</v>
      </c>
      <c r="C110" s="14" t="s">
        <v>1872</v>
      </c>
      <c r="D110" s="16">
        <v>46056</v>
      </c>
      <c r="E110" s="16"/>
      <c r="F110" s="14" t="s">
        <v>1873</v>
      </c>
      <c r="G110" s="14" t="s">
        <v>1874</v>
      </c>
      <c r="H110" s="14" t="s">
        <v>1875</v>
      </c>
      <c r="I110" s="15">
        <v>2403.67</v>
      </c>
      <c r="J110" s="77">
        <v>3</v>
      </c>
      <c r="K110" s="92"/>
    </row>
    <row r="111" spans="1:25" ht="22.5" x14ac:dyDescent="0.2">
      <c r="A111" s="14" t="s">
        <v>1854</v>
      </c>
      <c r="B111" s="14" t="s">
        <v>1876</v>
      </c>
      <c r="C111" s="14" t="s">
        <v>1877</v>
      </c>
      <c r="D111" s="16">
        <v>46056</v>
      </c>
      <c r="E111" s="16"/>
      <c r="F111" s="14" t="s">
        <v>1878</v>
      </c>
      <c r="G111" s="14" t="s">
        <v>1874</v>
      </c>
      <c r="H111" s="14" t="s">
        <v>1875</v>
      </c>
      <c r="I111" s="15">
        <v>3521.1</v>
      </c>
      <c r="J111" s="77">
        <v>3</v>
      </c>
      <c r="K111" s="92"/>
    </row>
    <row r="112" spans="1:25" ht="22.5" x14ac:dyDescent="0.2">
      <c r="A112" s="14" t="s">
        <v>1854</v>
      </c>
      <c r="B112" s="14" t="s">
        <v>1879</v>
      </c>
      <c r="C112" s="14" t="s">
        <v>1880</v>
      </c>
      <c r="D112" s="16">
        <v>46056</v>
      </c>
      <c r="E112" s="16"/>
      <c r="F112" s="14" t="s">
        <v>1881</v>
      </c>
      <c r="G112" s="14" t="s">
        <v>1860</v>
      </c>
      <c r="H112" s="14" t="s">
        <v>1861</v>
      </c>
      <c r="I112" s="15">
        <v>1303.93</v>
      </c>
      <c r="J112" s="77">
        <v>4</v>
      </c>
      <c r="K112" s="92"/>
    </row>
    <row r="113" spans="1:11" ht="22.5" x14ac:dyDescent="0.2">
      <c r="A113" s="14" t="s">
        <v>1854</v>
      </c>
      <c r="B113" s="14" t="s">
        <v>1882</v>
      </c>
      <c r="C113" s="14" t="s">
        <v>1883</v>
      </c>
      <c r="D113" s="16">
        <v>46056</v>
      </c>
      <c r="E113" s="16"/>
      <c r="F113" s="14" t="s">
        <v>1884</v>
      </c>
      <c r="G113" s="14"/>
      <c r="H113" s="14" t="s">
        <v>1885</v>
      </c>
      <c r="I113" s="15">
        <v>2250</v>
      </c>
      <c r="J113" s="77">
        <v>3</v>
      </c>
      <c r="K113" s="92"/>
    </row>
    <row r="114" spans="1:11" ht="22.5" x14ac:dyDescent="0.2">
      <c r="A114" s="14" t="s">
        <v>1854</v>
      </c>
      <c r="B114" s="14" t="s">
        <v>1890</v>
      </c>
      <c r="C114" s="14" t="s">
        <v>1886</v>
      </c>
      <c r="D114" s="16">
        <v>46077</v>
      </c>
      <c r="E114" s="16"/>
      <c r="F114" s="14" t="s">
        <v>1887</v>
      </c>
      <c r="G114" s="14" t="s">
        <v>1888</v>
      </c>
      <c r="H114" s="14" t="s">
        <v>1889</v>
      </c>
      <c r="I114" s="15">
        <v>1400</v>
      </c>
      <c r="J114" s="77">
        <v>3</v>
      </c>
      <c r="K114" s="92"/>
    </row>
    <row r="115" spans="1:11" ht="22.5" x14ac:dyDescent="0.2">
      <c r="A115" s="14" t="s">
        <v>1854</v>
      </c>
      <c r="B115" s="14" t="s">
        <v>1891</v>
      </c>
      <c r="C115" s="14" t="s">
        <v>1892</v>
      </c>
      <c r="D115" s="16">
        <v>46077</v>
      </c>
      <c r="E115" s="16"/>
      <c r="F115" s="14" t="s">
        <v>1893</v>
      </c>
      <c r="G115" s="14" t="s">
        <v>1860</v>
      </c>
      <c r="H115" s="14" t="s">
        <v>1861</v>
      </c>
      <c r="I115" s="15">
        <v>205.65</v>
      </c>
      <c r="J115" s="77">
        <v>4</v>
      </c>
      <c r="K115" s="92"/>
    </row>
    <row r="116" spans="1:11" ht="12.75" x14ac:dyDescent="0.2">
      <c r="A116" s="14" t="s">
        <v>1854</v>
      </c>
      <c r="B116" s="14" t="s">
        <v>1868</v>
      </c>
      <c r="C116" s="14" t="s">
        <v>1894</v>
      </c>
      <c r="D116" s="16">
        <v>46081</v>
      </c>
      <c r="E116" s="16"/>
      <c r="F116" s="14" t="s">
        <v>1856</v>
      </c>
      <c r="G116" s="14" t="s">
        <v>1857</v>
      </c>
      <c r="H116" s="14" t="s">
        <v>1858</v>
      </c>
      <c r="I116" s="15">
        <v>5</v>
      </c>
      <c r="J116" s="77">
        <v>4</v>
      </c>
      <c r="K116" s="92"/>
    </row>
    <row r="117" spans="1:11" ht="22.5" x14ac:dyDescent="0.2">
      <c r="A117" s="14" t="s">
        <v>1854</v>
      </c>
      <c r="B117" s="14" t="s">
        <v>1897</v>
      </c>
      <c r="C117" s="14" t="s">
        <v>1859</v>
      </c>
      <c r="D117" s="16">
        <v>46085</v>
      </c>
      <c r="E117" s="16"/>
      <c r="F117" s="14" t="s">
        <v>1896</v>
      </c>
      <c r="G117" s="14" t="s">
        <v>1860</v>
      </c>
      <c r="H117" s="14" t="s">
        <v>1861</v>
      </c>
      <c r="I117" s="15">
        <v>1303.93</v>
      </c>
      <c r="J117" s="77">
        <v>4</v>
      </c>
      <c r="K117" s="92"/>
    </row>
    <row r="118" spans="1:11" ht="22.5" x14ac:dyDescent="0.2">
      <c r="A118" s="14" t="s">
        <v>1854</v>
      </c>
      <c r="B118" s="14" t="s">
        <v>1862</v>
      </c>
      <c r="C118" s="14" t="s">
        <v>1863</v>
      </c>
      <c r="D118" s="16">
        <v>46098</v>
      </c>
      <c r="E118" s="16"/>
      <c r="F118" s="14" t="s">
        <v>1898</v>
      </c>
      <c r="G118" s="14" t="s">
        <v>1860</v>
      </c>
      <c r="H118" s="14" t="s">
        <v>1861</v>
      </c>
      <c r="I118" s="15">
        <v>391.55</v>
      </c>
      <c r="J118" s="77">
        <v>4</v>
      </c>
      <c r="K118" s="92"/>
    </row>
    <row r="119" spans="1:11" ht="12.75" x14ac:dyDescent="0.2">
      <c r="A119" s="14" t="s">
        <v>1854</v>
      </c>
      <c r="B119" s="14" t="s">
        <v>1899</v>
      </c>
      <c r="C119" s="14" t="s">
        <v>1900</v>
      </c>
      <c r="D119" s="16">
        <v>46043</v>
      </c>
      <c r="E119" s="16"/>
      <c r="F119" s="14" t="s">
        <v>1901</v>
      </c>
      <c r="G119" s="14" t="s">
        <v>1902</v>
      </c>
      <c r="H119" s="14" t="s">
        <v>1903</v>
      </c>
      <c r="I119" s="15">
        <v>58.2</v>
      </c>
      <c r="J119" s="77">
        <v>4</v>
      </c>
      <c r="K119" s="92"/>
    </row>
    <row r="120" spans="1:11" ht="12.75" x14ac:dyDescent="0.2">
      <c r="A120" s="14" t="s">
        <v>1854</v>
      </c>
      <c r="B120" s="14" t="s">
        <v>1904</v>
      </c>
      <c r="C120" s="14" t="s">
        <v>1905</v>
      </c>
      <c r="D120" s="16">
        <v>46077</v>
      </c>
      <c r="E120" s="16"/>
      <c r="F120" s="14" t="s">
        <v>1906</v>
      </c>
      <c r="G120" s="14" t="s">
        <v>1902</v>
      </c>
      <c r="H120" s="14" t="s">
        <v>1903</v>
      </c>
      <c r="I120" s="15">
        <v>60.75</v>
      </c>
      <c r="J120" s="77">
        <v>4</v>
      </c>
      <c r="K120" s="92"/>
    </row>
    <row r="121" spans="1:11" ht="12.75" x14ac:dyDescent="0.2">
      <c r="A121" s="14" t="s">
        <v>1854</v>
      </c>
      <c r="B121" s="14" t="s">
        <v>1907</v>
      </c>
      <c r="C121" s="14" t="s">
        <v>1908</v>
      </c>
      <c r="D121" s="16">
        <v>46100</v>
      </c>
      <c r="E121" s="16"/>
      <c r="F121" s="14" t="s">
        <v>1909</v>
      </c>
      <c r="G121" s="14" t="s">
        <v>1902</v>
      </c>
      <c r="H121" s="14" t="s">
        <v>1903</v>
      </c>
      <c r="I121" s="15">
        <v>25.65</v>
      </c>
      <c r="J121" s="77">
        <v>4</v>
      </c>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4" t="str">
        <f>Spolu!C3&amp;", "&amp;Spolu!C6</f>
        <v>SLOVENSKÁ JAZDECKÁ FEDERÁCIA, Olympijské námestie 14290/1, Bratislava, 831 04</v>
      </c>
      <c r="B1" s="374"/>
      <c r="C1" s="374"/>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75" t="s">
        <v>1137</v>
      </c>
      <c r="F3" s="376"/>
      <c r="N3" s="137" t="str">
        <f t="shared" si="0"/>
        <v>c - príspevok Slovenskému paralympijskému výboru</v>
      </c>
      <c r="O3" s="137" t="s">
        <v>244</v>
      </c>
      <c r="P3" s="137" t="s">
        <v>245</v>
      </c>
    </row>
    <row r="4" spans="1:16" ht="45.75" customHeight="1" x14ac:dyDescent="0.2">
      <c r="E4" s="376"/>
      <c r="F4" s="376"/>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25">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31787801</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73" t="s">
        <v>1163</v>
      </c>
      <c r="C22" s="373"/>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Sekretariát</cp:lastModifiedBy>
  <cp:revision/>
  <cp:lastPrinted>2026-01-22T08:18:11Z</cp:lastPrinted>
  <dcterms:created xsi:type="dcterms:W3CDTF">2017-02-20T06:20:12Z</dcterms:created>
  <dcterms:modified xsi:type="dcterms:W3CDTF">2026-04-10T12:37:18Z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